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9456" windowHeight="5028" tabRatio="663" firstSheet="2" activeTab="8"/>
  </bookViews>
  <sheets>
    <sheet name="EST-FIN" sheetId="6" r:id="rId1"/>
    <sheet name="FL-EFEC" sheetId="5" r:id="rId2"/>
    <sheet name="VAR-BCE" sheetId="1" r:id="rId3"/>
    <sheet name="PG NOV 00" sheetId="8" r:id="rId4"/>
    <sheet name="VAR-RES" sheetId="2" r:id="rId5"/>
    <sheet name="VAR-ADM" sheetId="3" r:id="rId6"/>
    <sheet name="VAR-VTA" sheetId="4" r:id="rId7"/>
    <sheet name="Bce Nov00" sheetId="9" r:id="rId8"/>
    <sheet name="DECL RENTA " sheetId="10" r:id="rId9"/>
    <sheet name="VENTAS" sheetId="7" r:id="rId10"/>
  </sheets>
  <definedNames>
    <definedName name="_xlnm.Print_Area" localSheetId="5">'VAR-ADM'!$A$1:$H$118</definedName>
    <definedName name="_xlnm.Print_Area" localSheetId="2">'VAR-BCE'!$A$1:$G$153</definedName>
    <definedName name="_xlnm.Print_Area" localSheetId="4">'VAR-RES'!$A$1:$G$51</definedName>
    <definedName name="_xlnm.Print_Area" localSheetId="9">VENTAS!$A$1:$N$18</definedName>
    <definedName name="_xlnm.Print_Titles" localSheetId="0">'EST-FIN'!$1:$4</definedName>
    <definedName name="_xlnm.Print_Titles" localSheetId="5">'VAR-ADM'!$1:$9</definedName>
    <definedName name="_xlnm.Print_Titles" localSheetId="2">'VAR-BCE'!$1:$8</definedName>
    <definedName name="_xlnm.Print_Titles" localSheetId="6">'VAR-VTA'!$1:$9</definedName>
  </definedNames>
  <calcPr calcId="144525" fullCalcOnLoad="1"/>
</workbook>
</file>

<file path=xl/calcChain.xml><?xml version="1.0" encoding="utf-8"?>
<calcChain xmlns="http://schemas.openxmlformats.org/spreadsheetml/2006/main">
  <c r="D14" i="9" l="1"/>
  <c r="E14" i="9" s="1"/>
  <c r="D15" i="9"/>
  <c r="E15" i="9" s="1"/>
  <c r="D16" i="9"/>
  <c r="E16" i="9" s="1"/>
  <c r="B17" i="9"/>
  <c r="C17" i="9"/>
  <c r="D17" i="9"/>
  <c r="E17" i="9" s="1"/>
  <c r="D20" i="9"/>
  <c r="E20" i="9"/>
  <c r="D21" i="9"/>
  <c r="D22" i="9"/>
  <c r="E22" i="9"/>
  <c r="B23" i="9"/>
  <c r="C23" i="9"/>
  <c r="D23" i="9"/>
  <c r="E23" i="9" s="1"/>
  <c r="D26" i="9"/>
  <c r="E26" i="9"/>
  <c r="D27" i="9"/>
  <c r="E27" i="9"/>
  <c r="D28" i="9"/>
  <c r="E28" i="9" s="1"/>
  <c r="D29" i="9"/>
  <c r="E29" i="9"/>
  <c r="D30" i="9"/>
  <c r="E30" i="9"/>
  <c r="D31" i="9"/>
  <c r="E31" i="9"/>
  <c r="D32" i="9"/>
  <c r="E32" i="9" s="1"/>
  <c r="D33" i="9"/>
  <c r="E33" i="9" s="1"/>
  <c r="D34" i="9"/>
  <c r="E34" i="9"/>
  <c r="B35" i="9"/>
  <c r="C35" i="9"/>
  <c r="D38" i="9"/>
  <c r="E38" i="9"/>
  <c r="D39" i="9"/>
  <c r="D40" i="9"/>
  <c r="E40" i="9" s="1"/>
  <c r="D41" i="9"/>
  <c r="E41" i="9" s="1"/>
  <c r="D42" i="9"/>
  <c r="E42" i="9" s="1"/>
  <c r="D43" i="9"/>
  <c r="E43" i="9" s="1"/>
  <c r="D44" i="9"/>
  <c r="E44" i="9" s="1"/>
  <c r="B45" i="9"/>
  <c r="D45" i="9" s="1"/>
  <c r="C45" i="9"/>
  <c r="E45" i="9"/>
  <c r="D48" i="9"/>
  <c r="E48" i="9"/>
  <c r="B49" i="9"/>
  <c r="D49" i="9" s="1"/>
  <c r="E49" i="9" s="1"/>
  <c r="C49" i="9"/>
  <c r="D52" i="9"/>
  <c r="E52" i="9"/>
  <c r="D53" i="9"/>
  <c r="E53" i="9" s="1"/>
  <c r="D54" i="9"/>
  <c r="E54" i="9" s="1"/>
  <c r="B55" i="9"/>
  <c r="C55" i="9"/>
  <c r="D55" i="9"/>
  <c r="E55" i="9" s="1"/>
  <c r="D58" i="9"/>
  <c r="E58" i="9" s="1"/>
  <c r="D59" i="9"/>
  <c r="E59" i="9" s="1"/>
  <c r="B60" i="9"/>
  <c r="C60" i="9"/>
  <c r="D60" i="9"/>
  <c r="E60" i="9" s="1"/>
  <c r="D65" i="9"/>
  <c r="E65" i="9"/>
  <c r="D66" i="9"/>
  <c r="E66" i="9"/>
  <c r="D67" i="9"/>
  <c r="E67" i="9" s="1"/>
  <c r="D68" i="9"/>
  <c r="E68" i="9"/>
  <c r="D69" i="9"/>
  <c r="E69" i="9"/>
  <c r="D70" i="9"/>
  <c r="E70" i="9"/>
  <c r="B71" i="9"/>
  <c r="D71" i="9" s="1"/>
  <c r="E71" i="9" s="1"/>
  <c r="C71" i="9"/>
  <c r="C75" i="9" s="1"/>
  <c r="D73" i="9"/>
  <c r="E73" i="9" s="1"/>
  <c r="D74" i="9"/>
  <c r="E74" i="9" s="1"/>
  <c r="B75" i="9"/>
  <c r="D79" i="9"/>
  <c r="E79" i="9" s="1"/>
  <c r="B80" i="9"/>
  <c r="C80" i="9"/>
  <c r="D80" i="9"/>
  <c r="E80" i="9" s="1"/>
  <c r="D83" i="9"/>
  <c r="E83" i="9" s="1"/>
  <c r="D84" i="9"/>
  <c r="E84" i="9" s="1"/>
  <c r="B85" i="9"/>
  <c r="C85" i="9"/>
  <c r="D85" i="9"/>
  <c r="E85" i="9" s="1"/>
  <c r="B86" i="9"/>
  <c r="C86" i="9"/>
  <c r="D86" i="9"/>
  <c r="E86" i="9" s="1"/>
  <c r="D89" i="9"/>
  <c r="E89" i="9"/>
  <c r="D90" i="9"/>
  <c r="E90" i="9"/>
  <c r="D95" i="9"/>
  <c r="D96" i="9"/>
  <c r="E96" i="9"/>
  <c r="D99" i="9"/>
  <c r="E99" i="9"/>
  <c r="D100" i="9"/>
  <c r="D101" i="9"/>
  <c r="E101" i="9" s="1"/>
  <c r="D102" i="9"/>
  <c r="E102" i="9" s="1"/>
  <c r="D103" i="9"/>
  <c r="E103" i="9" s="1"/>
  <c r="D104" i="9"/>
  <c r="E104" i="9" s="1"/>
  <c r="D105" i="9"/>
  <c r="B106" i="9"/>
  <c r="C106" i="9"/>
  <c r="D109" i="9"/>
  <c r="D110" i="9"/>
  <c r="E110" i="9" s="1"/>
  <c r="D111" i="9"/>
  <c r="B112" i="9"/>
  <c r="C112" i="9"/>
  <c r="D115" i="9"/>
  <c r="D116" i="9"/>
  <c r="E116" i="9" s="1"/>
  <c r="D121" i="9"/>
  <c r="E121" i="9" s="1"/>
  <c r="D122" i="9"/>
  <c r="E122" i="9" s="1"/>
  <c r="D123" i="9"/>
  <c r="E123" i="9" s="1"/>
  <c r="B127" i="9"/>
  <c r="D127" i="9" s="1"/>
  <c r="E127" i="9" s="1"/>
  <c r="C127" i="9"/>
  <c r="D130" i="9"/>
  <c r="B131" i="9"/>
  <c r="C131" i="9"/>
  <c r="B132" i="9"/>
  <c r="D135" i="9"/>
  <c r="E135" i="9" s="1"/>
  <c r="D136" i="9"/>
  <c r="E136" i="9" s="1"/>
  <c r="B137" i="9"/>
  <c r="C137" i="9"/>
  <c r="D137" i="9"/>
  <c r="E137" i="9"/>
  <c r="D141" i="9"/>
  <c r="E141" i="9"/>
  <c r="B142" i="9"/>
  <c r="C142" i="9"/>
  <c r="D142" i="9"/>
  <c r="E142" i="9" s="1"/>
  <c r="B143" i="9"/>
  <c r="D147" i="9"/>
  <c r="E147" i="9"/>
  <c r="D148" i="9"/>
  <c r="E148" i="9"/>
  <c r="D149" i="9"/>
  <c r="E149" i="9" s="1"/>
  <c r="D150" i="9"/>
  <c r="E150" i="9"/>
  <c r="D151" i="9"/>
  <c r="E151" i="9"/>
  <c r="D152" i="9"/>
  <c r="E152" i="9"/>
  <c r="B153" i="9"/>
  <c r="D153" i="9" s="1"/>
  <c r="E153" i="9" s="1"/>
  <c r="C153" i="9"/>
  <c r="B156" i="9"/>
  <c r="D156" i="9" s="1"/>
  <c r="E156" i="9" s="1"/>
  <c r="C156" i="9"/>
  <c r="B157" i="9"/>
  <c r="C157" i="9"/>
  <c r="G14" i="10"/>
  <c r="G26" i="10"/>
  <c r="G35" i="10"/>
  <c r="H35" i="10"/>
  <c r="G40" i="10"/>
  <c r="G41" i="10"/>
  <c r="G44" i="10" s="1"/>
  <c r="G42" i="10"/>
  <c r="G43" i="10"/>
  <c r="G47" i="10"/>
  <c r="G50" i="10"/>
  <c r="G51" i="10"/>
  <c r="G52" i="10"/>
  <c r="G53" i="10"/>
  <c r="G56" i="10"/>
  <c r="G58" i="10" s="1"/>
  <c r="G64" i="10"/>
  <c r="H66" i="10"/>
  <c r="I66" i="10"/>
  <c r="G73" i="10"/>
  <c r="G76" i="10"/>
  <c r="G77" i="10"/>
  <c r="H90" i="10"/>
  <c r="I90" i="10"/>
  <c r="G99" i="10"/>
  <c r="G104" i="10"/>
  <c r="G106" i="10" s="1"/>
  <c r="G115" i="10"/>
  <c r="I115" i="10"/>
  <c r="G116" i="10"/>
  <c r="H118" i="10"/>
  <c r="H131" i="10"/>
  <c r="G134" i="10"/>
  <c r="G148" i="10"/>
  <c r="G150" i="10"/>
  <c r="G155" i="10"/>
  <c r="G157" i="10" s="1"/>
  <c r="G156" i="10"/>
  <c r="I192" i="10" s="1"/>
  <c r="G161" i="10"/>
  <c r="G162" i="10"/>
  <c r="G163" i="10"/>
  <c r="G164" i="10"/>
  <c r="G165" i="10"/>
  <c r="G166" i="10"/>
  <c r="G167" i="10"/>
  <c r="G168" i="10"/>
  <c r="G169" i="10"/>
  <c r="G170" i="10"/>
  <c r="G173" i="10"/>
  <c r="G174" i="10"/>
  <c r="G175" i="10"/>
  <c r="G176" i="10"/>
  <c r="G177" i="10"/>
  <c r="G178" i="10"/>
  <c r="G179" i="10"/>
  <c r="G180" i="10"/>
  <c r="G181" i="10"/>
  <c r="H181" i="10" s="1"/>
  <c r="G185" i="10"/>
  <c r="I185" i="10"/>
  <c r="G186" i="10"/>
  <c r="G188" i="10" s="1"/>
  <c r="I186" i="10"/>
  <c r="G192" i="10"/>
  <c r="H192" i="10" s="1"/>
  <c r="G193" i="10"/>
  <c r="H193" i="10" s="1"/>
  <c r="G195" i="10"/>
  <c r="I195" i="10"/>
  <c r="G200" i="10"/>
  <c r="G205" i="10"/>
  <c r="G206" i="10"/>
  <c r="G207" i="10"/>
  <c r="G208" i="10"/>
  <c r="G209" i="10"/>
  <c r="G210" i="10"/>
  <c r="G212" i="10"/>
  <c r="G213" i="10"/>
  <c r="G214" i="10"/>
  <c r="G216" i="10"/>
  <c r="G217" i="10"/>
  <c r="G218" i="10"/>
  <c r="G219" i="10"/>
  <c r="G221" i="10"/>
  <c r="G222" i="10"/>
  <c r="G223" i="10"/>
  <c r="G224" i="10"/>
  <c r="G228" i="10"/>
  <c r="H233" i="10"/>
  <c r="H234" i="10"/>
  <c r="I237" i="10"/>
  <c r="G254" i="10"/>
  <c r="G276" i="10"/>
  <c r="G277" i="10" s="1"/>
  <c r="G294" i="10"/>
  <c r="G302" i="10"/>
  <c r="G306" i="10"/>
  <c r="D359" i="10" s="1"/>
  <c r="B338" i="10"/>
  <c r="D338" i="10"/>
  <c r="B342" i="10"/>
  <c r="G379" i="10"/>
  <c r="G391" i="10" s="1"/>
  <c r="G394" i="10"/>
  <c r="G408" i="10" s="1"/>
  <c r="G435" i="10" s="1"/>
  <c r="G404" i="10"/>
  <c r="G412" i="10"/>
  <c r="G415" i="10"/>
  <c r="G417" i="10"/>
  <c r="G421" i="10"/>
  <c r="G432" i="10"/>
  <c r="G433" i="10"/>
  <c r="G439" i="10"/>
  <c r="G454" i="10" s="1"/>
  <c r="G464" i="10" s="1"/>
  <c r="G481" i="10" s="1"/>
  <c r="G443" i="10"/>
  <c r="G452" i="10"/>
  <c r="G478" i="10"/>
  <c r="G479" i="10"/>
  <c r="G504" i="10"/>
  <c r="G508" i="10"/>
  <c r="D17" i="6"/>
  <c r="D21" i="6"/>
  <c r="D31" i="6"/>
  <c r="D35" i="6"/>
  <c r="D43" i="6"/>
  <c r="D49" i="6"/>
  <c r="E52" i="6" s="1"/>
  <c r="D60" i="6"/>
  <c r="D68" i="6"/>
  <c r="D81" i="6"/>
  <c r="E82" i="6"/>
  <c r="E91" i="6"/>
  <c r="D108" i="6"/>
  <c r="D114" i="6"/>
  <c r="D120" i="6"/>
  <c r="E129" i="6"/>
  <c r="E137" i="6"/>
  <c r="E152" i="6"/>
  <c r="A158" i="6"/>
  <c r="D158" i="6"/>
  <c r="A159" i="6"/>
  <c r="D159" i="6"/>
  <c r="A160" i="6"/>
  <c r="D160" i="6"/>
  <c r="A161" i="6"/>
  <c r="D161" i="6"/>
  <c r="E163" i="6"/>
  <c r="D184" i="6"/>
  <c r="E187" i="6"/>
  <c r="E191" i="6" s="1"/>
  <c r="D200" i="6"/>
  <c r="D205" i="6"/>
  <c r="E206" i="6" s="1"/>
  <c r="D215" i="6"/>
  <c r="D219" i="6"/>
  <c r="E220" i="6"/>
  <c r="C10" i="5"/>
  <c r="E10" i="5"/>
  <c r="G10" i="5"/>
  <c r="C13" i="5"/>
  <c r="E13" i="5"/>
  <c r="G13" i="5"/>
  <c r="C14" i="5"/>
  <c r="E14" i="5"/>
  <c r="G14" i="5"/>
  <c r="C15" i="5"/>
  <c r="E15" i="5"/>
  <c r="G15" i="5"/>
  <c r="C16" i="5"/>
  <c r="E16" i="5"/>
  <c r="G16" i="5"/>
  <c r="B17" i="5"/>
  <c r="D17" i="5"/>
  <c r="E17" i="5"/>
  <c r="F17" i="5"/>
  <c r="D18" i="5"/>
  <c r="D34" i="5" s="1"/>
  <c r="E18" i="5"/>
  <c r="C22" i="5"/>
  <c r="E22" i="5"/>
  <c r="G22" i="5"/>
  <c r="C23" i="5"/>
  <c r="E23" i="5"/>
  <c r="G23" i="5"/>
  <c r="E24" i="5"/>
  <c r="G24" i="5"/>
  <c r="B25" i="5"/>
  <c r="D25" i="5"/>
  <c r="E25" i="5"/>
  <c r="F25" i="5"/>
  <c r="C28" i="5"/>
  <c r="E28" i="5"/>
  <c r="G28" i="5"/>
  <c r="C29" i="5"/>
  <c r="E29" i="5"/>
  <c r="G29" i="5"/>
  <c r="B30" i="5"/>
  <c r="C30" i="5" s="1"/>
  <c r="D30" i="5"/>
  <c r="E30" i="5"/>
  <c r="F30" i="5"/>
  <c r="G30" i="5" s="1"/>
  <c r="D32" i="5"/>
  <c r="E32" i="5"/>
  <c r="E34" i="5"/>
  <c r="C37" i="5"/>
  <c r="E37" i="5"/>
  <c r="G37" i="5"/>
  <c r="C38" i="5"/>
  <c r="E38" i="5"/>
  <c r="G38" i="5"/>
  <c r="C39" i="5"/>
  <c r="E39" i="5"/>
  <c r="G39" i="5"/>
  <c r="G40" i="5"/>
  <c r="C41" i="5"/>
  <c r="E41" i="5"/>
  <c r="G41" i="5"/>
  <c r="B42" i="5"/>
  <c r="C42" i="5" s="1"/>
  <c r="D42" i="5"/>
  <c r="F42" i="5"/>
  <c r="G42" i="5"/>
  <c r="G45" i="5"/>
  <c r="C46" i="5"/>
  <c r="E46" i="5"/>
  <c r="G46" i="5"/>
  <c r="C47" i="5"/>
  <c r="E47" i="5"/>
  <c r="G47" i="5"/>
  <c r="B48" i="5"/>
  <c r="C48" i="5" s="1"/>
  <c r="D48" i="5"/>
  <c r="E48" i="5"/>
  <c r="F48" i="5"/>
  <c r="G48" i="5" s="1"/>
  <c r="C51" i="5"/>
  <c r="E51" i="5"/>
  <c r="G51" i="5"/>
  <c r="D10" i="8"/>
  <c r="E10" i="8" s="1"/>
  <c r="D11" i="8"/>
  <c r="E11" i="8" s="1"/>
  <c r="B12" i="8"/>
  <c r="C12" i="8"/>
  <c r="C14" i="8" s="1"/>
  <c r="D13" i="8"/>
  <c r="E13" i="8" s="1"/>
  <c r="D15" i="8"/>
  <c r="E15" i="8" s="1"/>
  <c r="D20" i="8"/>
  <c r="E20" i="8" s="1"/>
  <c r="D21" i="8"/>
  <c r="E21" i="8" s="1"/>
  <c r="B22" i="8"/>
  <c r="C22" i="8"/>
  <c r="D22" i="8"/>
  <c r="E22" i="8" s="1"/>
  <c r="D25" i="8"/>
  <c r="E25" i="8" s="1"/>
  <c r="D26" i="8"/>
  <c r="E26" i="8" s="1"/>
  <c r="B27" i="8"/>
  <c r="C27" i="8"/>
  <c r="C28" i="8" s="1"/>
  <c r="D27" i="8"/>
  <c r="E27" i="8" s="1"/>
  <c r="B28" i="8"/>
  <c r="D32" i="8"/>
  <c r="E32" i="8" s="1"/>
  <c r="D33" i="8"/>
  <c r="E33" i="8" s="1"/>
  <c r="D34" i="8"/>
  <c r="E34" i="8" s="1"/>
  <c r="B35" i="8"/>
  <c r="C35" i="8"/>
  <c r="D35" i="8"/>
  <c r="E35" i="8" s="1"/>
  <c r="D38" i="8"/>
  <c r="E38" i="8" s="1"/>
  <c r="B39" i="8"/>
  <c r="D39" i="8" s="1"/>
  <c r="E39" i="8" s="1"/>
  <c r="C39" i="8"/>
  <c r="C41" i="8" s="1"/>
  <c r="G41" i="8" s="1"/>
  <c r="B41" i="8"/>
  <c r="D45" i="8"/>
  <c r="E45" i="8" s="1"/>
  <c r="E12" i="3"/>
  <c r="F12" i="3" s="1"/>
  <c r="E13" i="3"/>
  <c r="F13" i="3" s="1"/>
  <c r="E14" i="3"/>
  <c r="F14" i="3" s="1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C31" i="3"/>
  <c r="D31" i="3"/>
  <c r="E31" i="3"/>
  <c r="F31" i="3" s="1"/>
  <c r="E34" i="3"/>
  <c r="F34" i="3" s="1"/>
  <c r="E35" i="3"/>
  <c r="F35" i="3" s="1"/>
  <c r="E36" i="3"/>
  <c r="F36" i="3"/>
  <c r="E37" i="3"/>
  <c r="F37" i="3" s="1"/>
  <c r="C38" i="3"/>
  <c r="D38" i="3"/>
  <c r="E41" i="3"/>
  <c r="F41" i="3"/>
  <c r="E42" i="3"/>
  <c r="F42" i="3"/>
  <c r="E43" i="3"/>
  <c r="F43" i="3"/>
  <c r="E44" i="3"/>
  <c r="F44" i="3"/>
  <c r="E45" i="3"/>
  <c r="F45" i="3"/>
  <c r="C46" i="3"/>
  <c r="D46" i="3"/>
  <c r="E46" i="3"/>
  <c r="F46" i="3" s="1"/>
  <c r="E49" i="3"/>
  <c r="F49" i="3"/>
  <c r="C50" i="3"/>
  <c r="D50" i="3"/>
  <c r="E53" i="3"/>
  <c r="F53" i="3" s="1"/>
  <c r="E54" i="3"/>
  <c r="F54" i="3" s="1"/>
  <c r="C55" i="3"/>
  <c r="D55" i="3"/>
  <c r="E58" i="3"/>
  <c r="F58" i="3"/>
  <c r="E59" i="3"/>
  <c r="F59" i="3"/>
  <c r="E60" i="3"/>
  <c r="F60" i="3"/>
  <c r="E61" i="3"/>
  <c r="F61" i="3"/>
  <c r="E62" i="3"/>
  <c r="F62" i="3"/>
  <c r="C63" i="3"/>
  <c r="D63" i="3"/>
  <c r="E63" i="3" s="1"/>
  <c r="F63" i="3" s="1"/>
  <c r="E66" i="3"/>
  <c r="F66" i="3" s="1"/>
  <c r="E67" i="3"/>
  <c r="F67" i="3" s="1"/>
  <c r="E68" i="3"/>
  <c r="F68" i="3" s="1"/>
  <c r="E69" i="3"/>
  <c r="F69" i="3" s="1"/>
  <c r="C70" i="3"/>
  <c r="D70" i="3"/>
  <c r="E73" i="3"/>
  <c r="F73" i="3"/>
  <c r="E74" i="3"/>
  <c r="F74" i="3"/>
  <c r="E75" i="3"/>
  <c r="F75" i="3"/>
  <c r="C76" i="3"/>
  <c r="D76" i="3"/>
  <c r="E76" i="3" s="1"/>
  <c r="F76" i="3" s="1"/>
  <c r="E79" i="3"/>
  <c r="F79" i="3" s="1"/>
  <c r="E80" i="3"/>
  <c r="F80" i="3" s="1"/>
  <c r="E81" i="3"/>
  <c r="F81" i="3" s="1"/>
  <c r="E82" i="3"/>
  <c r="F82" i="3" s="1"/>
  <c r="C83" i="3"/>
  <c r="D83" i="3"/>
  <c r="E86" i="3"/>
  <c r="F86" i="3"/>
  <c r="E87" i="3"/>
  <c r="F87" i="3"/>
  <c r="C88" i="3"/>
  <c r="D88" i="3"/>
  <c r="E88" i="3" s="1"/>
  <c r="F88" i="3" s="1"/>
  <c r="E91" i="3"/>
  <c r="F91" i="3" s="1"/>
  <c r="E92" i="3"/>
  <c r="F92" i="3" s="1"/>
  <c r="E93" i="3"/>
  <c r="F93" i="3" s="1"/>
  <c r="C94" i="3"/>
  <c r="E94" i="3" s="1"/>
  <c r="F94" i="3" s="1"/>
  <c r="D94" i="3"/>
  <c r="E97" i="3"/>
  <c r="F97" i="3"/>
  <c r="E98" i="3"/>
  <c r="F98" i="3"/>
  <c r="E99" i="3"/>
  <c r="F99" i="3"/>
  <c r="C100" i="3"/>
  <c r="D100" i="3"/>
  <c r="E100" i="3"/>
  <c r="F100" i="3" s="1"/>
  <c r="E103" i="3"/>
  <c r="F103" i="3" s="1"/>
  <c r="E104" i="3"/>
  <c r="F104" i="3" s="1"/>
  <c r="E105" i="3"/>
  <c r="F105" i="3" s="1"/>
  <c r="E106" i="3"/>
  <c r="F106" i="3" s="1"/>
  <c r="E107" i="3"/>
  <c r="F107" i="3" s="1"/>
  <c r="E108" i="3"/>
  <c r="F108" i="3" s="1"/>
  <c r="E109" i="3"/>
  <c r="F109" i="3" s="1"/>
  <c r="E110" i="3"/>
  <c r="F110" i="3" s="1"/>
  <c r="E111" i="3"/>
  <c r="F111" i="3" s="1"/>
  <c r="E112" i="3"/>
  <c r="F112" i="3" s="1"/>
  <c r="C113" i="3"/>
  <c r="D113" i="3"/>
  <c r="E116" i="3"/>
  <c r="F116" i="3"/>
  <c r="C117" i="3"/>
  <c r="D117" i="3"/>
  <c r="D14" i="1"/>
  <c r="E14" i="1"/>
  <c r="D15" i="1"/>
  <c r="E15" i="1"/>
  <c r="D16" i="1"/>
  <c r="E16" i="1"/>
  <c r="B17" i="1"/>
  <c r="C17" i="1"/>
  <c r="D20" i="1"/>
  <c r="E20" i="1" s="1"/>
  <c r="D21" i="1"/>
  <c r="E21" i="1" s="1"/>
  <c r="D22" i="1"/>
  <c r="E22" i="1" s="1"/>
  <c r="B23" i="1"/>
  <c r="D23" i="1" s="1"/>
  <c r="C23" i="1"/>
  <c r="E23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B35" i="1"/>
  <c r="C35" i="1"/>
  <c r="D35" i="1"/>
  <c r="E35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B45" i="1"/>
  <c r="C45" i="1"/>
  <c r="D48" i="1"/>
  <c r="E48" i="1"/>
  <c r="B49" i="1"/>
  <c r="C49" i="1"/>
  <c r="D53" i="1"/>
  <c r="E53" i="1"/>
  <c r="D54" i="1"/>
  <c r="E54" i="1"/>
  <c r="D55" i="1"/>
  <c r="E55" i="1"/>
  <c r="B56" i="1"/>
  <c r="C56" i="1"/>
  <c r="D56" i="1"/>
  <c r="E56" i="1" s="1"/>
  <c r="D60" i="1"/>
  <c r="E60" i="1" s="1"/>
  <c r="D61" i="1"/>
  <c r="E61" i="1" s="1"/>
  <c r="B62" i="1"/>
  <c r="D62" i="1" s="1"/>
  <c r="C62" i="1"/>
  <c r="E62" i="1"/>
  <c r="D65" i="1"/>
  <c r="E65" i="1"/>
  <c r="D66" i="1"/>
  <c r="E66" i="1"/>
  <c r="D67" i="1"/>
  <c r="E67" i="1"/>
  <c r="D68" i="1"/>
  <c r="E68" i="1"/>
  <c r="D69" i="1"/>
  <c r="E69" i="1"/>
  <c r="D70" i="1"/>
  <c r="E70" i="1"/>
  <c r="B71" i="1"/>
  <c r="C71" i="1"/>
  <c r="D73" i="1"/>
  <c r="E73" i="1" s="1"/>
  <c r="D74" i="1"/>
  <c r="E74" i="1" s="1"/>
  <c r="B75" i="1"/>
  <c r="D79" i="1"/>
  <c r="E79" i="1"/>
  <c r="B80" i="1"/>
  <c r="C80" i="1"/>
  <c r="C86" i="1" s="1"/>
  <c r="D80" i="1"/>
  <c r="E80" i="1" s="1"/>
  <c r="D83" i="1"/>
  <c r="E83" i="1" s="1"/>
  <c r="D84" i="1"/>
  <c r="E84" i="1" s="1"/>
  <c r="B85" i="1"/>
  <c r="C85" i="1"/>
  <c r="D89" i="1"/>
  <c r="E89" i="1"/>
  <c r="D90" i="1"/>
  <c r="E90" i="1" s="1"/>
  <c r="D97" i="1"/>
  <c r="E97" i="1"/>
  <c r="D98" i="1"/>
  <c r="E98" i="1" s="1"/>
  <c r="D101" i="1"/>
  <c r="E101" i="1" s="1"/>
  <c r="D102" i="1"/>
  <c r="E102" i="1"/>
  <c r="D103" i="1"/>
  <c r="E103" i="1"/>
  <c r="D104" i="1"/>
  <c r="E104" i="1" s="1"/>
  <c r="D105" i="1"/>
  <c r="E105" i="1"/>
  <c r="D106" i="1"/>
  <c r="E106" i="1" s="1"/>
  <c r="D107" i="1"/>
  <c r="E107" i="1"/>
  <c r="B108" i="1"/>
  <c r="C108" i="1"/>
  <c r="D108" i="1"/>
  <c r="E108" i="1" s="1"/>
  <c r="D111" i="1"/>
  <c r="E111" i="1" s="1"/>
  <c r="D112" i="1"/>
  <c r="E112" i="1" s="1"/>
  <c r="D113" i="1"/>
  <c r="E113" i="1" s="1"/>
  <c r="B114" i="1"/>
  <c r="C114" i="1"/>
  <c r="D117" i="1"/>
  <c r="E117" i="1" s="1"/>
  <c r="D118" i="1"/>
  <c r="E118" i="1" s="1"/>
  <c r="D119" i="1"/>
  <c r="E119" i="1"/>
  <c r="D120" i="1"/>
  <c r="E120" i="1"/>
  <c r="D121" i="1"/>
  <c r="E121" i="1" s="1"/>
  <c r="B122" i="1"/>
  <c r="C122" i="1"/>
  <c r="C127" i="1" s="1"/>
  <c r="D125" i="1"/>
  <c r="E125" i="1" s="1"/>
  <c r="B126" i="1"/>
  <c r="D126" i="1" s="1"/>
  <c r="E126" i="1" s="1"/>
  <c r="C126" i="1"/>
  <c r="D130" i="1"/>
  <c r="E130" i="1" s="1"/>
  <c r="D131" i="1"/>
  <c r="E131" i="1" s="1"/>
  <c r="B132" i="1"/>
  <c r="D132" i="1" s="1"/>
  <c r="E132" i="1" s="1"/>
  <c r="C132" i="1"/>
  <c r="D136" i="1"/>
  <c r="E136" i="1" s="1"/>
  <c r="B137" i="1"/>
  <c r="C137" i="1"/>
  <c r="D142" i="1"/>
  <c r="E142" i="1" s="1"/>
  <c r="D143" i="1"/>
  <c r="E143" i="1" s="1"/>
  <c r="D144" i="1"/>
  <c r="E144" i="1"/>
  <c r="D145" i="1"/>
  <c r="E145" i="1"/>
  <c r="D146" i="1"/>
  <c r="E146" i="1" s="1"/>
  <c r="D147" i="1"/>
  <c r="E147" i="1" s="1"/>
  <c r="B148" i="1"/>
  <c r="D148" i="1" s="1"/>
  <c r="E148" i="1" s="1"/>
  <c r="C148" i="1"/>
  <c r="B151" i="1"/>
  <c r="C151" i="1"/>
  <c r="B152" i="1"/>
  <c r="C152" i="1"/>
  <c r="D152" i="1"/>
  <c r="E152" i="1"/>
  <c r="D10" i="2"/>
  <c r="E10" i="2" s="1"/>
  <c r="F10" i="2"/>
  <c r="D11" i="2"/>
  <c r="E11" i="2" s="1"/>
  <c r="F11" i="2"/>
  <c r="B12" i="2"/>
  <c r="C12" i="2"/>
  <c r="D12" i="2"/>
  <c r="E12" i="2" s="1"/>
  <c r="D13" i="2"/>
  <c r="E13" i="2"/>
  <c r="F13" i="2"/>
  <c r="B14" i="2"/>
  <c r="F12" i="2" s="1"/>
  <c r="C14" i="2"/>
  <c r="D14" i="2"/>
  <c r="E14" i="2" s="1"/>
  <c r="F14" i="2"/>
  <c r="D15" i="2"/>
  <c r="E15" i="2" s="1"/>
  <c r="F15" i="2"/>
  <c r="B16" i="2"/>
  <c r="F16" i="2"/>
  <c r="D20" i="2"/>
  <c r="E20" i="2"/>
  <c r="F20" i="2"/>
  <c r="D21" i="2"/>
  <c r="E21" i="2" s="1"/>
  <c r="F21" i="2"/>
  <c r="B22" i="2"/>
  <c r="C22" i="2"/>
  <c r="G22" i="2"/>
  <c r="D25" i="2"/>
  <c r="E25" i="2" s="1"/>
  <c r="F25" i="2"/>
  <c r="G25" i="2"/>
  <c r="D26" i="2"/>
  <c r="E26" i="2" s="1"/>
  <c r="F26" i="2"/>
  <c r="B27" i="2"/>
  <c r="D27" i="2" s="1"/>
  <c r="E27" i="2" s="1"/>
  <c r="C27" i="2"/>
  <c r="F27" i="2"/>
  <c r="C28" i="2"/>
  <c r="G28" i="2"/>
  <c r="D32" i="2"/>
  <c r="E32" i="2" s="1"/>
  <c r="F32" i="2"/>
  <c r="D33" i="2"/>
  <c r="E33" i="2" s="1"/>
  <c r="F33" i="2"/>
  <c r="D34" i="2"/>
  <c r="E34" i="2"/>
  <c r="F34" i="2"/>
  <c r="B35" i="2"/>
  <c r="C35" i="2"/>
  <c r="G35" i="2" s="1"/>
  <c r="D35" i="2"/>
  <c r="E35" i="2" s="1"/>
  <c r="F35" i="2"/>
  <c r="D38" i="2"/>
  <c r="E38" i="2" s="1"/>
  <c r="F38" i="2"/>
  <c r="B39" i="2"/>
  <c r="C39" i="2"/>
  <c r="D39" i="2"/>
  <c r="E39" i="2" s="1"/>
  <c r="F39" i="2"/>
  <c r="B41" i="2"/>
  <c r="D41" i="2" s="1"/>
  <c r="E41" i="2" s="1"/>
  <c r="C41" i="2"/>
  <c r="G41" i="2" s="1"/>
  <c r="D45" i="2"/>
  <c r="E45" i="2" s="1"/>
  <c r="F45" i="2"/>
  <c r="E12" i="4"/>
  <c r="F12" i="4" s="1"/>
  <c r="E13" i="4"/>
  <c r="F13" i="4"/>
  <c r="E14" i="4"/>
  <c r="F14" i="4"/>
  <c r="E15" i="4"/>
  <c r="F15" i="4" s="1"/>
  <c r="E16" i="4"/>
  <c r="F16" i="4" s="1"/>
  <c r="E17" i="4"/>
  <c r="F17" i="4"/>
  <c r="E18" i="4"/>
  <c r="F18" i="4"/>
  <c r="E19" i="4"/>
  <c r="F19" i="4" s="1"/>
  <c r="E20" i="4"/>
  <c r="F20" i="4" s="1"/>
  <c r="E21" i="4"/>
  <c r="F21" i="4"/>
  <c r="E22" i="4"/>
  <c r="F22" i="4"/>
  <c r="E23" i="4"/>
  <c r="F23" i="4" s="1"/>
  <c r="E24" i="4"/>
  <c r="F24" i="4" s="1"/>
  <c r="E25" i="4"/>
  <c r="F25" i="4"/>
  <c r="E26" i="4"/>
  <c r="F26" i="4"/>
  <c r="E27" i="4"/>
  <c r="F27" i="4" s="1"/>
  <c r="E28" i="4"/>
  <c r="F28" i="4" s="1"/>
  <c r="E29" i="4"/>
  <c r="F29" i="4" s="1"/>
  <c r="C30" i="4"/>
  <c r="D30" i="4"/>
  <c r="E30" i="4"/>
  <c r="F30" i="4" s="1"/>
  <c r="E33" i="4"/>
  <c r="F33" i="4" s="1"/>
  <c r="C34" i="4"/>
  <c r="D34" i="4"/>
  <c r="E34" i="4"/>
  <c r="F34" i="4" s="1"/>
  <c r="E37" i="4"/>
  <c r="F37" i="4" s="1"/>
  <c r="E38" i="4"/>
  <c r="F38" i="4"/>
  <c r="C39" i="4"/>
  <c r="D39" i="4"/>
  <c r="E39" i="4"/>
  <c r="F39" i="4" s="1"/>
  <c r="E42" i="4"/>
  <c r="F42" i="4"/>
  <c r="E43" i="4"/>
  <c r="F43" i="4"/>
  <c r="E44" i="4"/>
  <c r="F44" i="4"/>
  <c r="C45" i="4"/>
  <c r="D45" i="4"/>
  <c r="E45" i="4"/>
  <c r="F45" i="4" s="1"/>
  <c r="E48" i="4"/>
  <c r="F48" i="4" s="1"/>
  <c r="E49" i="4"/>
  <c r="F49" i="4" s="1"/>
  <c r="E50" i="4"/>
  <c r="F50" i="4" s="1"/>
  <c r="E51" i="4"/>
  <c r="F51" i="4" s="1"/>
  <c r="C52" i="4"/>
  <c r="E52" i="4" s="1"/>
  <c r="D52" i="4"/>
  <c r="F52" i="4"/>
  <c r="E55" i="4"/>
  <c r="F55" i="4"/>
  <c r="E56" i="4"/>
  <c r="F56" i="4"/>
  <c r="E57" i="4"/>
  <c r="F57" i="4"/>
  <c r="C58" i="4"/>
  <c r="D58" i="4"/>
  <c r="E58" i="4" s="1"/>
  <c r="F58" i="4" s="1"/>
  <c r="E61" i="4"/>
  <c r="F61" i="4" s="1"/>
  <c r="E62" i="4"/>
  <c r="F62" i="4" s="1"/>
  <c r="C63" i="4"/>
  <c r="E63" i="4" s="1"/>
  <c r="F63" i="4" s="1"/>
  <c r="D63" i="4"/>
  <c r="E66" i="4"/>
  <c r="F66" i="4"/>
  <c r="C67" i="4"/>
  <c r="D67" i="4"/>
  <c r="E67" i="4"/>
  <c r="E70" i="4"/>
  <c r="F70" i="4"/>
  <c r="E71" i="4"/>
  <c r="F71" i="4"/>
  <c r="E72" i="4"/>
  <c r="F72" i="4"/>
  <c r="E73" i="4"/>
  <c r="F73" i="4"/>
  <c r="C74" i="4"/>
  <c r="D74" i="4"/>
  <c r="E77" i="4"/>
  <c r="F77" i="4" s="1"/>
  <c r="C78" i="4"/>
  <c r="E78" i="4" s="1"/>
  <c r="D78" i="4"/>
  <c r="F78" i="4"/>
  <c r="E81" i="4"/>
  <c r="F81" i="4"/>
  <c r="E82" i="4"/>
  <c r="F82" i="4"/>
  <c r="E83" i="4"/>
  <c r="F83" i="4"/>
  <c r="E84" i="4"/>
  <c r="F84" i="4"/>
  <c r="E85" i="4"/>
  <c r="F85" i="4"/>
  <c r="E86" i="4"/>
  <c r="F86" i="4"/>
  <c r="E87" i="4"/>
  <c r="F87" i="4"/>
  <c r="E88" i="4"/>
  <c r="F88" i="4"/>
  <c r="E89" i="4"/>
  <c r="F89" i="4"/>
  <c r="C90" i="4"/>
  <c r="D90" i="4"/>
  <c r="E90" i="4" s="1"/>
  <c r="F90" i="4" s="1"/>
  <c r="N10" i="7"/>
  <c r="N11" i="7"/>
  <c r="B12" i="7"/>
  <c r="B14" i="7" s="1"/>
  <c r="C12" i="7"/>
  <c r="D12" i="7"/>
  <c r="E12" i="7"/>
  <c r="E14" i="7" s="1"/>
  <c r="F12" i="7"/>
  <c r="F14" i="7" s="1"/>
  <c r="F16" i="7" s="1"/>
  <c r="F18" i="7" s="1"/>
  <c r="G12" i="7"/>
  <c r="H12" i="7"/>
  <c r="I12" i="7"/>
  <c r="I14" i="7" s="1"/>
  <c r="J12" i="7"/>
  <c r="J14" i="7" s="1"/>
  <c r="J16" i="7" s="1"/>
  <c r="J18" i="7" s="1"/>
  <c r="K12" i="7"/>
  <c r="L12" i="7"/>
  <c r="M12" i="7"/>
  <c r="M14" i="7" s="1"/>
  <c r="N12" i="7"/>
  <c r="N13" i="7"/>
  <c r="C14" i="7"/>
  <c r="C16" i="7" s="1"/>
  <c r="C18" i="7" s="1"/>
  <c r="D14" i="7"/>
  <c r="D16" i="7" s="1"/>
  <c r="G14" i="7"/>
  <c r="G16" i="7" s="1"/>
  <c r="G18" i="7" s="1"/>
  <c r="H14" i="7"/>
  <c r="H16" i="7" s="1"/>
  <c r="K14" i="7"/>
  <c r="K16" i="7" s="1"/>
  <c r="K18" i="7" s="1"/>
  <c r="L14" i="7"/>
  <c r="L16" i="7" s="1"/>
  <c r="N15" i="7"/>
  <c r="E16" i="7"/>
  <c r="E18" i="7" s="1"/>
  <c r="I16" i="7"/>
  <c r="I18" i="7" s="1"/>
  <c r="M16" i="7"/>
  <c r="M18" i="7" s="1"/>
  <c r="D18" i="7"/>
  <c r="H18" i="7"/>
  <c r="L18" i="7"/>
  <c r="N14" i="7" l="1"/>
  <c r="D22" i="2"/>
  <c r="E22" i="2" s="1"/>
  <c r="F22" i="2"/>
  <c r="E55" i="3"/>
  <c r="F55" i="3" s="1"/>
  <c r="C118" i="3"/>
  <c r="G50" i="3" s="1"/>
  <c r="C91" i="4"/>
  <c r="G78" i="4"/>
  <c r="E74" i="4"/>
  <c r="G74" i="4"/>
  <c r="G52" i="4"/>
  <c r="D91" i="4"/>
  <c r="B28" i="2"/>
  <c r="C138" i="1"/>
  <c r="B127" i="1"/>
  <c r="D114" i="1"/>
  <c r="E114" i="1" s="1"/>
  <c r="D49" i="1"/>
  <c r="E49" i="1" s="1"/>
  <c r="E117" i="3"/>
  <c r="F117" i="3" s="1"/>
  <c r="D122" i="1"/>
  <c r="E122" i="1" s="1"/>
  <c r="E113" i="3"/>
  <c r="F113" i="3" s="1"/>
  <c r="G113" i="3"/>
  <c r="E83" i="3"/>
  <c r="F83" i="3" s="1"/>
  <c r="G83" i="3"/>
  <c r="G485" i="10"/>
  <c r="G491" i="10" s="1"/>
  <c r="D131" i="9"/>
  <c r="B16" i="7"/>
  <c r="D151" i="1"/>
  <c r="E151" i="1" s="1"/>
  <c r="D137" i="1"/>
  <c r="E137" i="1" s="1"/>
  <c r="G12" i="2"/>
  <c r="G13" i="2"/>
  <c r="C16" i="2"/>
  <c r="G20" i="2"/>
  <c r="G21" i="2"/>
  <c r="G27" i="2"/>
  <c r="G32" i="2"/>
  <c r="G33" i="2"/>
  <c r="G34" i="2"/>
  <c r="G39" i="2"/>
  <c r="G45" i="2"/>
  <c r="C75" i="1"/>
  <c r="D71" i="1"/>
  <c r="E71" i="1" s="1"/>
  <c r="D118" i="3"/>
  <c r="D41" i="8"/>
  <c r="E41" i="8" s="1"/>
  <c r="F18" i="5"/>
  <c r="G17" i="5"/>
  <c r="D157" i="9"/>
  <c r="E157" i="9" s="1"/>
  <c r="F41" i="2"/>
  <c r="G26" i="2"/>
  <c r="G14" i="2"/>
  <c r="G10" i="2"/>
  <c r="C50" i="1"/>
  <c r="D17" i="1"/>
  <c r="E17" i="1" s="1"/>
  <c r="E38" i="3"/>
  <c r="F38" i="3" s="1"/>
  <c r="G28" i="8"/>
  <c r="D28" i="8"/>
  <c r="E28" i="8" s="1"/>
  <c r="B32" i="5"/>
  <c r="C32" i="5" s="1"/>
  <c r="C25" i="5"/>
  <c r="G88" i="10"/>
  <c r="G66" i="10"/>
  <c r="G38" i="2"/>
  <c r="G15" i="2"/>
  <c r="G11" i="2"/>
  <c r="D75" i="1"/>
  <c r="E75" i="1" s="1"/>
  <c r="D45" i="1"/>
  <c r="E45" i="1" s="1"/>
  <c r="B50" i="1"/>
  <c r="E70" i="3"/>
  <c r="F70" i="3" s="1"/>
  <c r="G70" i="3"/>
  <c r="E50" i="3"/>
  <c r="D12" i="8"/>
  <c r="E12" i="8" s="1"/>
  <c r="B14" i="8"/>
  <c r="F41" i="8" s="1"/>
  <c r="F12" i="8"/>
  <c r="B154" i="9"/>
  <c r="D85" i="1"/>
  <c r="E85" i="1" s="1"/>
  <c r="B86" i="1"/>
  <c r="B18" i="5"/>
  <c r="C17" i="5"/>
  <c r="E73" i="6"/>
  <c r="H195" i="10"/>
  <c r="G233" i="10"/>
  <c r="D75" i="9"/>
  <c r="E75" i="9" s="1"/>
  <c r="F32" i="5"/>
  <c r="G32" i="5" s="1"/>
  <c r="G25" i="5"/>
  <c r="E208" i="6"/>
  <c r="E222" i="6" s="1"/>
  <c r="E226" i="6" s="1"/>
  <c r="E230" i="6" s="1"/>
  <c r="E122" i="6"/>
  <c r="E139" i="6" s="1"/>
  <c r="E155" i="6" s="1"/>
  <c r="F338" i="10"/>
  <c r="D342" i="10" s="1"/>
  <c r="F342" i="10" s="1"/>
  <c r="B346" i="10"/>
  <c r="G118" i="10"/>
  <c r="G131" i="10" s="1"/>
  <c r="G237" i="10" s="1"/>
  <c r="G241" i="10" s="1"/>
  <c r="G256" i="10" s="1"/>
  <c r="C132" i="9"/>
  <c r="D132" i="9" s="1"/>
  <c r="E132" i="9" s="1"/>
  <c r="G12" i="8"/>
  <c r="G13" i="8"/>
  <c r="C16" i="8"/>
  <c r="G20" i="8"/>
  <c r="G21" i="8"/>
  <c r="G27" i="8"/>
  <c r="G32" i="8"/>
  <c r="G33" i="8"/>
  <c r="G34" i="8"/>
  <c r="G39" i="8"/>
  <c r="G45" i="8"/>
  <c r="G10" i="8"/>
  <c r="G11" i="8"/>
  <c r="G14" i="8"/>
  <c r="G15" i="8"/>
  <c r="G22" i="8"/>
  <c r="G25" i="8"/>
  <c r="G26" i="8"/>
  <c r="G35" i="8"/>
  <c r="G38" i="8"/>
  <c r="E42" i="5"/>
  <c r="D50" i="5"/>
  <c r="E44" i="6"/>
  <c r="E83" i="6" s="1"/>
  <c r="G229" i="10"/>
  <c r="G231" i="10" s="1"/>
  <c r="B50" i="9"/>
  <c r="G86" i="10"/>
  <c r="D112" i="9"/>
  <c r="E112" i="9" s="1"/>
  <c r="C50" i="9"/>
  <c r="D106" i="9"/>
  <c r="E106" i="9" s="1"/>
  <c r="D35" i="9"/>
  <c r="E35" i="9" s="1"/>
  <c r="G333" i="10" l="1"/>
  <c r="D346" i="10"/>
  <c r="F346" i="10" s="1"/>
  <c r="G347" i="10" s="1"/>
  <c r="G326" i="10" s="1"/>
  <c r="G245" i="10" s="1"/>
  <c r="H256" i="10"/>
  <c r="G266" i="10"/>
  <c r="G279" i="10" s="1"/>
  <c r="G283" i="10" s="1"/>
  <c r="G289" i="10" s="1"/>
  <c r="B138" i="1"/>
  <c r="D127" i="1"/>
  <c r="E127" i="1" s="1"/>
  <c r="F127" i="1"/>
  <c r="G13" i="4"/>
  <c r="G17" i="4"/>
  <c r="G21" i="4"/>
  <c r="G25" i="4"/>
  <c r="G29" i="4"/>
  <c r="G30" i="4"/>
  <c r="G37" i="4"/>
  <c r="G67" i="4"/>
  <c r="G70" i="4"/>
  <c r="G71" i="4"/>
  <c r="G72" i="4"/>
  <c r="G73" i="4"/>
  <c r="G15" i="4"/>
  <c r="G23" i="4"/>
  <c r="G12" i="4"/>
  <c r="G16" i="4"/>
  <c r="G20" i="4"/>
  <c r="G24" i="4"/>
  <c r="G28" i="4"/>
  <c r="G34" i="4"/>
  <c r="G45" i="4"/>
  <c r="G48" i="4"/>
  <c r="G49" i="4"/>
  <c r="G50" i="4"/>
  <c r="G51" i="4"/>
  <c r="G58" i="4"/>
  <c r="G61" i="4"/>
  <c r="G62" i="4"/>
  <c r="G77" i="4"/>
  <c r="G90" i="4"/>
  <c r="E91" i="4"/>
  <c r="F91" i="4" s="1"/>
  <c r="G19" i="4"/>
  <c r="G27" i="4"/>
  <c r="G26" i="4"/>
  <c r="G42" i="4"/>
  <c r="G56" i="4"/>
  <c r="G82" i="4"/>
  <c r="G86" i="4"/>
  <c r="G91" i="4"/>
  <c r="G81" i="4"/>
  <c r="G85" i="4"/>
  <c r="G18" i="4"/>
  <c r="G44" i="4"/>
  <c r="G66" i="4"/>
  <c r="G84" i="4"/>
  <c r="G88" i="4"/>
  <c r="G14" i="4"/>
  <c r="G43" i="4"/>
  <c r="G57" i="4"/>
  <c r="G63" i="4"/>
  <c r="G83" i="4"/>
  <c r="G87" i="4"/>
  <c r="G22" i="4"/>
  <c r="G33" i="4"/>
  <c r="G38" i="4"/>
  <c r="G39" i="4"/>
  <c r="G55" i="4"/>
  <c r="G89" i="4"/>
  <c r="C87" i="9"/>
  <c r="G16" i="8"/>
  <c r="C29" i="8"/>
  <c r="C143" i="9"/>
  <c r="F34" i="5"/>
  <c r="G18" i="5"/>
  <c r="H12" i="3"/>
  <c r="H13" i="3"/>
  <c r="H55" i="3"/>
  <c r="H58" i="3"/>
  <c r="H59" i="3"/>
  <c r="H60" i="3"/>
  <c r="H61" i="3"/>
  <c r="H62" i="3"/>
  <c r="H70" i="3"/>
  <c r="H73" i="3"/>
  <c r="H74" i="3"/>
  <c r="H75" i="3"/>
  <c r="H83" i="3"/>
  <c r="H86" i="3"/>
  <c r="H87" i="3"/>
  <c r="H94" i="3"/>
  <c r="H97" i="3"/>
  <c r="H98" i="3"/>
  <c r="H99" i="3"/>
  <c r="H113" i="3"/>
  <c r="H116" i="3"/>
  <c r="H118" i="3"/>
  <c r="H31" i="3"/>
  <c r="H34" i="3"/>
  <c r="H35" i="3"/>
  <c r="H36" i="3"/>
  <c r="H37" i="3"/>
  <c r="H46" i="3"/>
  <c r="H49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41" i="3"/>
  <c r="H42" i="3"/>
  <c r="H43" i="3"/>
  <c r="H44" i="3"/>
  <c r="H45" i="3"/>
  <c r="H67" i="3"/>
  <c r="H69" i="3"/>
  <c r="H103" i="3"/>
  <c r="H105" i="3"/>
  <c r="H107" i="3"/>
  <c r="H109" i="3"/>
  <c r="H111" i="3"/>
  <c r="H53" i="3"/>
  <c r="H79" i="3"/>
  <c r="H81" i="3"/>
  <c r="H91" i="3"/>
  <c r="H93" i="3"/>
  <c r="H108" i="3"/>
  <c r="H54" i="3"/>
  <c r="H76" i="3"/>
  <c r="H82" i="3"/>
  <c r="H88" i="3"/>
  <c r="H104" i="3"/>
  <c r="H106" i="3"/>
  <c r="H50" i="3"/>
  <c r="H68" i="3"/>
  <c r="H80" i="3"/>
  <c r="H92" i="3"/>
  <c r="H112" i="3"/>
  <c r="H66" i="3"/>
  <c r="H110" i="3"/>
  <c r="H100" i="3"/>
  <c r="B18" i="7"/>
  <c r="N16" i="7"/>
  <c r="N18" i="7" s="1"/>
  <c r="H117" i="3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4" i="4"/>
  <c r="H37" i="4"/>
  <c r="H38" i="4"/>
  <c r="H33" i="4"/>
  <c r="H39" i="4"/>
  <c r="H42" i="4"/>
  <c r="H43" i="4"/>
  <c r="H44" i="4"/>
  <c r="H52" i="4"/>
  <c r="H55" i="4"/>
  <c r="H56" i="4"/>
  <c r="H57" i="4"/>
  <c r="H63" i="4"/>
  <c r="H66" i="4"/>
  <c r="H78" i="4"/>
  <c r="H81" i="4"/>
  <c r="H82" i="4"/>
  <c r="H83" i="4"/>
  <c r="H84" i="4"/>
  <c r="H85" i="4"/>
  <c r="H86" i="4"/>
  <c r="H87" i="4"/>
  <c r="H88" i="4"/>
  <c r="H89" i="4"/>
  <c r="H91" i="4"/>
  <c r="H70" i="4"/>
  <c r="H71" i="4"/>
  <c r="H72" i="4"/>
  <c r="H73" i="4"/>
  <c r="H48" i="4"/>
  <c r="H50" i="4"/>
  <c r="H49" i="4"/>
  <c r="H51" i="4"/>
  <c r="H77" i="4"/>
  <c r="H62" i="4"/>
  <c r="H61" i="4"/>
  <c r="H90" i="4"/>
  <c r="H58" i="4"/>
  <c r="D52" i="5"/>
  <c r="E52" i="5" s="1"/>
  <c r="E50" i="5"/>
  <c r="D50" i="9"/>
  <c r="E50" i="9" s="1"/>
  <c r="B87" i="9"/>
  <c r="C18" i="5"/>
  <c r="B34" i="5"/>
  <c r="D50" i="1"/>
  <c r="E50" i="1" s="1"/>
  <c r="B87" i="1"/>
  <c r="F50" i="1" s="1"/>
  <c r="G75" i="1"/>
  <c r="B29" i="2"/>
  <c r="F28" i="2"/>
  <c r="D28" i="2"/>
  <c r="E28" i="2" s="1"/>
  <c r="G13" i="3"/>
  <c r="G31" i="3"/>
  <c r="G34" i="3"/>
  <c r="G35" i="3"/>
  <c r="G36" i="3"/>
  <c r="G37" i="3"/>
  <c r="G46" i="3"/>
  <c r="G49" i="3"/>
  <c r="G53" i="3"/>
  <c r="G54" i="3"/>
  <c r="G63" i="3"/>
  <c r="G66" i="3"/>
  <c r="G67" i="3"/>
  <c r="G68" i="3"/>
  <c r="G69" i="3"/>
  <c r="G76" i="3"/>
  <c r="G79" i="3"/>
  <c r="G80" i="3"/>
  <c r="G81" i="3"/>
  <c r="G82" i="3"/>
  <c r="G88" i="3"/>
  <c r="G91" i="3"/>
  <c r="G92" i="3"/>
  <c r="G93" i="3"/>
  <c r="G100" i="3"/>
  <c r="G103" i="3"/>
  <c r="G104" i="3"/>
  <c r="G105" i="3"/>
  <c r="G106" i="3"/>
  <c r="G107" i="3"/>
  <c r="G108" i="3"/>
  <c r="G109" i="3"/>
  <c r="G110" i="3"/>
  <c r="G111" i="3"/>
  <c r="G112" i="3"/>
  <c r="G117" i="3"/>
  <c r="E118" i="3"/>
  <c r="F118" i="3" s="1"/>
  <c r="G12" i="3"/>
  <c r="G58" i="3"/>
  <c r="G62" i="3"/>
  <c r="G86" i="3"/>
  <c r="G97" i="3"/>
  <c r="G118" i="3"/>
  <c r="G17" i="3"/>
  <c r="G21" i="3"/>
  <c r="G25" i="3"/>
  <c r="G29" i="3"/>
  <c r="G43" i="3"/>
  <c r="G61" i="3"/>
  <c r="G74" i="3"/>
  <c r="G98" i="3"/>
  <c r="G59" i="3"/>
  <c r="G16" i="3"/>
  <c r="G20" i="3"/>
  <c r="G24" i="3"/>
  <c r="G28" i="3"/>
  <c r="G42" i="3"/>
  <c r="G60" i="3"/>
  <c r="G73" i="3"/>
  <c r="G116" i="3"/>
  <c r="G15" i="3"/>
  <c r="G19" i="3"/>
  <c r="G23" i="3"/>
  <c r="G27" i="3"/>
  <c r="G41" i="3"/>
  <c r="G45" i="3"/>
  <c r="G87" i="3"/>
  <c r="G18" i="3"/>
  <c r="G99" i="3"/>
  <c r="G26" i="3"/>
  <c r="G38" i="3"/>
  <c r="G75" i="3"/>
  <c r="G94" i="3"/>
  <c r="G14" i="3"/>
  <c r="G30" i="3"/>
  <c r="G44" i="3"/>
  <c r="G22" i="3"/>
  <c r="H74" i="4"/>
  <c r="F86" i="1"/>
  <c r="D86" i="1"/>
  <c r="E86" i="1" s="1"/>
  <c r="F154" i="9"/>
  <c r="F10" i="8"/>
  <c r="F13" i="8"/>
  <c r="F21" i="8"/>
  <c r="F22" i="8"/>
  <c r="F26" i="8"/>
  <c r="F27" i="8"/>
  <c r="F32" i="8"/>
  <c r="F34" i="8"/>
  <c r="F35" i="8"/>
  <c r="F15" i="8"/>
  <c r="F20" i="8"/>
  <c r="F14" i="8"/>
  <c r="F28" i="8"/>
  <c r="F33" i="8"/>
  <c r="F39" i="8"/>
  <c r="F45" i="8"/>
  <c r="B16" i="8"/>
  <c r="F25" i="8"/>
  <c r="F38" i="8"/>
  <c r="F11" i="8"/>
  <c r="D14" i="8"/>
  <c r="E14" i="8" s="1"/>
  <c r="H63" i="3"/>
  <c r="G90" i="10"/>
  <c r="G50" i="1"/>
  <c r="C87" i="1"/>
  <c r="H38" i="3"/>
  <c r="G16" i="2"/>
  <c r="C29" i="2"/>
  <c r="D16" i="2"/>
  <c r="E16" i="2" s="1"/>
  <c r="H67" i="4"/>
  <c r="G138" i="1"/>
  <c r="C149" i="1"/>
  <c r="G149" i="1" s="1"/>
  <c r="H30" i="4"/>
  <c r="G55" i="3"/>
  <c r="H45" i="4"/>
  <c r="F23" i="9" l="1"/>
  <c r="F26" i="9"/>
  <c r="F27" i="9"/>
  <c r="F28" i="9"/>
  <c r="F29" i="9"/>
  <c r="F30" i="9"/>
  <c r="F31" i="9"/>
  <c r="F32" i="9"/>
  <c r="F33" i="9"/>
  <c r="F34" i="9"/>
  <c r="F105" i="9"/>
  <c r="F111" i="9"/>
  <c r="F15" i="9"/>
  <c r="F20" i="9"/>
  <c r="F41" i="9"/>
  <c r="F54" i="9"/>
  <c r="F60" i="9"/>
  <c r="F68" i="9"/>
  <c r="F74" i="9"/>
  <c r="F79" i="9"/>
  <c r="F85" i="9"/>
  <c r="F89" i="9"/>
  <c r="F100" i="9"/>
  <c r="F104" i="9"/>
  <c r="F122" i="9"/>
  <c r="F131" i="9"/>
  <c r="F137" i="9"/>
  <c r="F150" i="9"/>
  <c r="F14" i="9"/>
  <c r="F17" i="9"/>
  <c r="F40" i="9"/>
  <c r="F44" i="9"/>
  <c r="F53" i="9"/>
  <c r="F67" i="9"/>
  <c r="F73" i="9"/>
  <c r="F87" i="9"/>
  <c r="F95" i="9"/>
  <c r="F96" i="9"/>
  <c r="F99" i="9"/>
  <c r="F103" i="9"/>
  <c r="F16" i="9"/>
  <c r="F38" i="9"/>
  <c r="F42" i="9"/>
  <c r="F48" i="9"/>
  <c r="F69" i="9"/>
  <c r="F90" i="9"/>
  <c r="F106" i="9"/>
  <c r="F136" i="9"/>
  <c r="F141" i="9"/>
  <c r="F142" i="9"/>
  <c r="F151" i="9"/>
  <c r="F39" i="9"/>
  <c r="F43" i="9"/>
  <c r="F66" i="9"/>
  <c r="F109" i="9"/>
  <c r="F121" i="9"/>
  <c r="F135" i="9"/>
  <c r="F147" i="9"/>
  <c r="F83" i="9"/>
  <c r="F102" i="9"/>
  <c r="F115" i="9"/>
  <c r="F123" i="9"/>
  <c r="F148" i="9"/>
  <c r="F153" i="9"/>
  <c r="F22" i="9"/>
  <c r="F35" i="9"/>
  <c r="F45" i="9"/>
  <c r="F58" i="9"/>
  <c r="F65" i="9"/>
  <c r="D87" i="9"/>
  <c r="E87" i="9" s="1"/>
  <c r="F130" i="9"/>
  <c r="F152" i="9"/>
  <c r="F156" i="9"/>
  <c r="F70" i="9"/>
  <c r="F116" i="9"/>
  <c r="F52" i="9"/>
  <c r="F59" i="9"/>
  <c r="F127" i="9"/>
  <c r="F21" i="9"/>
  <c r="F49" i="9"/>
  <c r="F101" i="9"/>
  <c r="F149" i="9"/>
  <c r="F84" i="9"/>
  <c r="F110" i="9"/>
  <c r="F55" i="9"/>
  <c r="F112" i="9"/>
  <c r="F71" i="9"/>
  <c r="F132" i="9"/>
  <c r="F143" i="9"/>
  <c r="F80" i="9"/>
  <c r="F86" i="9"/>
  <c r="F157" i="9"/>
  <c r="F75" i="9"/>
  <c r="G17" i="9"/>
  <c r="G20" i="9"/>
  <c r="G45" i="9"/>
  <c r="G48" i="9"/>
  <c r="G52" i="9"/>
  <c r="G53" i="9"/>
  <c r="G54" i="9"/>
  <c r="G60" i="9"/>
  <c r="G65" i="9"/>
  <c r="G66" i="9"/>
  <c r="G67" i="9"/>
  <c r="G68" i="9"/>
  <c r="G69" i="9"/>
  <c r="G70" i="9"/>
  <c r="G79" i="9"/>
  <c r="G85" i="9"/>
  <c r="G87" i="9"/>
  <c r="G89" i="9"/>
  <c r="G90" i="9"/>
  <c r="G127" i="9"/>
  <c r="G137" i="9"/>
  <c r="G141" i="9"/>
  <c r="G147" i="9"/>
  <c r="G148" i="9"/>
  <c r="G149" i="9"/>
  <c r="G150" i="9"/>
  <c r="G151" i="9"/>
  <c r="G152" i="9"/>
  <c r="G16" i="9"/>
  <c r="G29" i="9"/>
  <c r="G33" i="9"/>
  <c r="G38" i="9"/>
  <c r="G42" i="9"/>
  <c r="G58" i="9"/>
  <c r="G83" i="9"/>
  <c r="G101" i="9"/>
  <c r="G111" i="9"/>
  <c r="G115" i="9"/>
  <c r="G123" i="9"/>
  <c r="G130" i="9"/>
  <c r="G135" i="9"/>
  <c r="G157" i="9"/>
  <c r="G15" i="9"/>
  <c r="G28" i="9"/>
  <c r="G32" i="9"/>
  <c r="G41" i="9"/>
  <c r="G74" i="9"/>
  <c r="G100" i="9"/>
  <c r="G21" i="9"/>
  <c r="G22" i="9"/>
  <c r="G30" i="9"/>
  <c r="G49" i="9"/>
  <c r="G59" i="9"/>
  <c r="G99" i="9"/>
  <c r="G103" i="9"/>
  <c r="G105" i="9"/>
  <c r="G116" i="9"/>
  <c r="G153" i="9"/>
  <c r="G27" i="9"/>
  <c r="G84" i="9"/>
  <c r="G95" i="9"/>
  <c r="G102" i="9"/>
  <c r="G104" i="9"/>
  <c r="G110" i="9"/>
  <c r="G73" i="9"/>
  <c r="G109" i="9"/>
  <c r="G121" i="9"/>
  <c r="G136" i="9"/>
  <c r="G14" i="9"/>
  <c r="G31" i="9"/>
  <c r="G39" i="9"/>
  <c r="G44" i="9"/>
  <c r="G96" i="9"/>
  <c r="G40" i="9"/>
  <c r="G43" i="9"/>
  <c r="G122" i="9"/>
  <c r="G26" i="9"/>
  <c r="G71" i="9"/>
  <c r="G34" i="9"/>
  <c r="G112" i="9"/>
  <c r="G131" i="9"/>
  <c r="G35" i="9"/>
  <c r="G106" i="9"/>
  <c r="G156" i="9"/>
  <c r="G86" i="9"/>
  <c r="G75" i="9"/>
  <c r="G55" i="9"/>
  <c r="G80" i="9"/>
  <c r="G142" i="9"/>
  <c r="G23" i="9"/>
  <c r="F50" i="9"/>
  <c r="G50" i="9"/>
  <c r="G14" i="1"/>
  <c r="G15" i="1"/>
  <c r="G16" i="1"/>
  <c r="G23" i="1"/>
  <c r="G26" i="1"/>
  <c r="G27" i="1"/>
  <c r="G28" i="1"/>
  <c r="G29" i="1"/>
  <c r="G30" i="1"/>
  <c r="G31" i="1"/>
  <c r="G32" i="1"/>
  <c r="G33" i="1"/>
  <c r="G34" i="1"/>
  <c r="G45" i="1"/>
  <c r="G48" i="1"/>
  <c r="G53" i="1"/>
  <c r="G54" i="1"/>
  <c r="G55" i="1"/>
  <c r="G62" i="1"/>
  <c r="G65" i="1"/>
  <c r="G66" i="1"/>
  <c r="G67" i="1"/>
  <c r="G68" i="1"/>
  <c r="G69" i="1"/>
  <c r="G70" i="1"/>
  <c r="G79" i="1"/>
  <c r="G85" i="1"/>
  <c r="G87" i="1"/>
  <c r="G89" i="1"/>
  <c r="G90" i="1"/>
  <c r="G97" i="1"/>
  <c r="G98" i="1"/>
  <c r="G101" i="1"/>
  <c r="G102" i="1"/>
  <c r="G103" i="1"/>
  <c r="G104" i="1"/>
  <c r="G105" i="1"/>
  <c r="G106" i="1"/>
  <c r="G107" i="1"/>
  <c r="G38" i="1"/>
  <c r="G40" i="1"/>
  <c r="G42" i="1"/>
  <c r="G44" i="1"/>
  <c r="G114" i="1"/>
  <c r="G117" i="1"/>
  <c r="G118" i="1"/>
  <c r="G119" i="1"/>
  <c r="G120" i="1"/>
  <c r="G121" i="1"/>
  <c r="G126" i="1"/>
  <c r="G132" i="1"/>
  <c r="G136" i="1"/>
  <c r="G142" i="1"/>
  <c r="G143" i="1"/>
  <c r="G144" i="1"/>
  <c r="G145" i="1"/>
  <c r="G146" i="1"/>
  <c r="G147" i="1"/>
  <c r="G152" i="1"/>
  <c r="G20" i="1"/>
  <c r="G22" i="1"/>
  <c r="G39" i="1"/>
  <c r="G84" i="1"/>
  <c r="G111" i="1"/>
  <c r="G21" i="1"/>
  <c r="G43" i="1"/>
  <c r="G113" i="1"/>
  <c r="C154" i="1"/>
  <c r="G35" i="1"/>
  <c r="G60" i="1"/>
  <c r="G73" i="1"/>
  <c r="G108" i="1"/>
  <c r="G17" i="1"/>
  <c r="G83" i="1"/>
  <c r="G125" i="1"/>
  <c r="G131" i="1"/>
  <c r="G71" i="1"/>
  <c r="G112" i="1"/>
  <c r="G61" i="1"/>
  <c r="G56" i="1"/>
  <c r="G130" i="1"/>
  <c r="G137" i="1"/>
  <c r="G151" i="1"/>
  <c r="G74" i="1"/>
  <c r="G122" i="1"/>
  <c r="G41" i="1"/>
  <c r="G80" i="1"/>
  <c r="G127" i="1"/>
  <c r="G49" i="1"/>
  <c r="G86" i="1"/>
  <c r="G148" i="1"/>
  <c r="F16" i="8"/>
  <c r="B29" i="8"/>
  <c r="D16" i="8"/>
  <c r="E16" i="8" s="1"/>
  <c r="F50" i="5"/>
  <c r="G34" i="5"/>
  <c r="D354" i="10"/>
  <c r="F354" i="10" s="1"/>
  <c r="B357" i="10" s="1"/>
  <c r="F357" i="10" s="1"/>
  <c r="B359" i="10" s="1"/>
  <c r="F359" i="10" s="1"/>
  <c r="G29" i="2"/>
  <c r="C43" i="2"/>
  <c r="D29" i="2"/>
  <c r="E29" i="2" s="1"/>
  <c r="F29" i="2"/>
  <c r="B43" i="2"/>
  <c r="G132" i="9"/>
  <c r="B50" i="5"/>
  <c r="C34" i="5"/>
  <c r="G143" i="9"/>
  <c r="C154" i="9"/>
  <c r="D143" i="9"/>
  <c r="E143" i="9" s="1"/>
  <c r="F17" i="1"/>
  <c r="F20" i="1"/>
  <c r="F21" i="1"/>
  <c r="F22" i="1"/>
  <c r="F35" i="1"/>
  <c r="F38" i="1"/>
  <c r="F39" i="1"/>
  <c r="F40" i="1"/>
  <c r="F41" i="1"/>
  <c r="F42" i="1"/>
  <c r="F43" i="1"/>
  <c r="F44" i="1"/>
  <c r="F49" i="1"/>
  <c r="F56" i="1"/>
  <c r="F60" i="1"/>
  <c r="F61" i="1"/>
  <c r="F71" i="1"/>
  <c r="F73" i="1"/>
  <c r="F74" i="1"/>
  <c r="F80" i="1"/>
  <c r="F83" i="1"/>
  <c r="F84" i="1"/>
  <c r="D87" i="1"/>
  <c r="E87" i="1" s="1"/>
  <c r="F28" i="1"/>
  <c r="F32" i="1"/>
  <c r="F54" i="1"/>
  <c r="F67" i="1"/>
  <c r="F89" i="1"/>
  <c r="F101" i="1"/>
  <c r="F105" i="1"/>
  <c r="F15" i="1"/>
  <c r="F23" i="1"/>
  <c r="F70" i="1"/>
  <c r="F79" i="1"/>
  <c r="F85" i="1"/>
  <c r="F87" i="1"/>
  <c r="F97" i="1"/>
  <c r="F104" i="1"/>
  <c r="F107" i="1"/>
  <c r="F108" i="1"/>
  <c r="F119" i="1"/>
  <c r="F144" i="1"/>
  <c r="F152" i="1"/>
  <c r="F30" i="1"/>
  <c r="F65" i="1"/>
  <c r="F98" i="1"/>
  <c r="F103" i="1"/>
  <c r="F117" i="1"/>
  <c r="F130" i="1"/>
  <c r="F142" i="1"/>
  <c r="F14" i="1"/>
  <c r="F31" i="1"/>
  <c r="F34" i="1"/>
  <c r="F48" i="1"/>
  <c r="F66" i="1"/>
  <c r="F69" i="1"/>
  <c r="F90" i="1"/>
  <c r="F106" i="1"/>
  <c r="F113" i="1"/>
  <c r="F118" i="1"/>
  <c r="F125" i="1"/>
  <c r="F131" i="1"/>
  <c r="F143" i="1"/>
  <c r="F147" i="1"/>
  <c r="B154" i="1"/>
  <c r="F27" i="1"/>
  <c r="F33" i="1"/>
  <c r="F53" i="1"/>
  <c r="F68" i="1"/>
  <c r="F112" i="1"/>
  <c r="F121" i="1"/>
  <c r="F136" i="1"/>
  <c r="F146" i="1"/>
  <c r="F26" i="1"/>
  <c r="F114" i="1"/>
  <c r="F102" i="1"/>
  <c r="F55" i="1"/>
  <c r="F111" i="1"/>
  <c r="F145" i="1"/>
  <c r="F29" i="1"/>
  <c r="F120" i="1"/>
  <c r="F16" i="1"/>
  <c r="F62" i="1"/>
  <c r="F122" i="1"/>
  <c r="F45" i="1"/>
  <c r="F151" i="1"/>
  <c r="F132" i="1"/>
  <c r="F137" i="1"/>
  <c r="F148" i="1"/>
  <c r="F126" i="1"/>
  <c r="F75" i="1"/>
  <c r="G29" i="8"/>
  <c r="C43" i="8"/>
  <c r="D138" i="1"/>
  <c r="E138" i="1" s="1"/>
  <c r="F138" i="1"/>
  <c r="B149" i="1"/>
  <c r="D149" i="1" l="1"/>
  <c r="E149" i="1" s="1"/>
  <c r="F149" i="1"/>
  <c r="B52" i="5"/>
  <c r="C52" i="5" s="1"/>
  <c r="C50" i="5"/>
  <c r="D29" i="8"/>
  <c r="E29" i="8" s="1"/>
  <c r="B43" i="8"/>
  <c r="F29" i="8"/>
  <c r="D43" i="2"/>
  <c r="E43" i="2" s="1"/>
  <c r="F43" i="2"/>
  <c r="B46" i="2"/>
  <c r="G50" i="5"/>
  <c r="F52" i="5"/>
  <c r="G52" i="5" s="1"/>
  <c r="G43" i="8"/>
  <c r="C46" i="8"/>
  <c r="G514" i="10"/>
  <c r="G518" i="10" s="1"/>
  <c r="G312" i="10"/>
  <c r="G316" i="10" s="1"/>
  <c r="G154" i="9"/>
  <c r="D154" i="9"/>
  <c r="E154" i="9" s="1"/>
  <c r="G43" i="2"/>
  <c r="C46" i="2"/>
  <c r="C49" i="2" l="1"/>
  <c r="G49" i="2" s="1"/>
  <c r="G46" i="2"/>
  <c r="D46" i="2"/>
  <c r="E46" i="2" s="1"/>
  <c r="F46" i="2"/>
  <c r="B49" i="2"/>
  <c r="F43" i="8"/>
  <c r="B46" i="8"/>
  <c r="D43" i="8"/>
  <c r="E43" i="8" s="1"/>
  <c r="C49" i="8"/>
  <c r="G49" i="8" s="1"/>
  <c r="G46" i="8"/>
  <c r="D46" i="8" l="1"/>
  <c r="E46" i="8" s="1"/>
  <c r="F46" i="8"/>
  <c r="B49" i="8"/>
  <c r="D49" i="2"/>
  <c r="E49" i="2" s="1"/>
  <c r="F49" i="2"/>
  <c r="F49" i="8" l="1"/>
  <c r="D49" i="8"/>
  <c r="E49" i="8" s="1"/>
</calcChain>
</file>

<file path=xl/sharedStrings.xml><?xml version="1.0" encoding="utf-8"?>
<sst xmlns="http://schemas.openxmlformats.org/spreadsheetml/2006/main" count="1199" uniqueCount="571">
  <si>
    <t>A C T I V O</t>
  </si>
  <si>
    <t>ACTIVO CORRIENTE</t>
  </si>
  <si>
    <t>DISPONIBLE</t>
  </si>
  <si>
    <t>CAJA</t>
  </si>
  <si>
    <t>BANCOS</t>
  </si>
  <si>
    <t>CUENTAS DE AHORRO</t>
  </si>
  <si>
    <t>TOTAL DISPONIBLE</t>
  </si>
  <si>
    <t>INVERSIONES</t>
  </si>
  <si>
    <t>CERTIFICADOS</t>
  </si>
  <si>
    <t>BONOS</t>
  </si>
  <si>
    <t>DERECHOS FIDUCIARIOS</t>
  </si>
  <si>
    <t>TOTAL INVERSIONES</t>
  </si>
  <si>
    <t>CUENTAS POR COBRAR</t>
  </si>
  <si>
    <t>CLIENTES</t>
  </si>
  <si>
    <t>A SOCIOS</t>
  </si>
  <si>
    <t>ANTICIPOS Y AVANCES</t>
  </si>
  <si>
    <t>DEPOSITOS</t>
  </si>
  <si>
    <t>INGRESOS POR COBRAR</t>
  </si>
  <si>
    <t>ANTICIPO DE IMPTOS. Y CONTRIBUCIONES</t>
  </si>
  <si>
    <t>CUENTAS POR COBRAR A TRABAJADORES</t>
  </si>
  <si>
    <t>DEUDORES VARIOS</t>
  </si>
  <si>
    <t>PROVISION PARA PROTECCION CLIENTES</t>
  </si>
  <si>
    <t>TOTAL CUENTAS POR COBRAR</t>
  </si>
  <si>
    <t>INVENTARIOS</t>
  </si>
  <si>
    <t>MATERIAS PRIMAS</t>
  </si>
  <si>
    <t>PRODUCTOS EN PROCESO</t>
  </si>
  <si>
    <t>PRODUCTOS TERMINADOS</t>
  </si>
  <si>
    <t>MCIAS. NO FABRICADAS POR LA EMPRESA</t>
  </si>
  <si>
    <t>MATERIALES, REPUESTOS Y ACCESORIOS</t>
  </si>
  <si>
    <t>INVENTARIOS EN TRANSITO</t>
  </si>
  <si>
    <t>AJUSTES POR INFLACION</t>
  </si>
  <si>
    <t>TOTAL INVENTARIOS</t>
  </si>
  <si>
    <t>DIFERIDOS</t>
  </si>
  <si>
    <t>GASTOS PAGADOS POR ANTICIPADO</t>
  </si>
  <si>
    <t>TOTAL DIFERIDOS</t>
  </si>
  <si>
    <t>TOTAL ACTIVO CORRIENTE</t>
  </si>
  <si>
    <t>INVERSIONES A LARGO PLAZO</t>
  </si>
  <si>
    <t>CUOTAS O PARTES DE INTERES SOCIAL</t>
  </si>
  <si>
    <t>OBLIGATORIAS</t>
  </si>
  <si>
    <t>TOTAL INVERSIONES A LARGO PLAZO</t>
  </si>
  <si>
    <t>PROPIEDADES, PLANTA Y EQUIPO</t>
  </si>
  <si>
    <t>NO DEPRECIABLES</t>
  </si>
  <si>
    <t>TERRENOS</t>
  </si>
  <si>
    <t>TOTAL NO DEPRECIABLES</t>
  </si>
  <si>
    <t>DEPRECIABLES</t>
  </si>
  <si>
    <t>CONSTRUCCIONES Y EDIFICACIONES</t>
  </si>
  <si>
    <t>MAQUINARIA Y EQUIPO INDUSTRIAL</t>
  </si>
  <si>
    <t>EQUIPO DE OFICINA</t>
  </si>
  <si>
    <t>EQUIPO DE COMPUTACION Y COMUNICACION</t>
  </si>
  <si>
    <t>FLOTA Y EQUIPO DE TRANSPORTE</t>
  </si>
  <si>
    <t>TOTAL DEPRECIABLES</t>
  </si>
  <si>
    <t>DEPRECIACION ACUMULADA</t>
  </si>
  <si>
    <t>TOTAL PROPIEDADES, PLANTA Y EQUIPO</t>
  </si>
  <si>
    <t>OTROS ACTIVOS</t>
  </si>
  <si>
    <t>CARGOS x CORRECCION MONETARIA DIFERIDA</t>
  </si>
  <si>
    <t>VALORIZACIONES</t>
  </si>
  <si>
    <t>DE INVERSIONES</t>
  </si>
  <si>
    <t>DE PROPIEDADES, PLANTA Y EQUIPO</t>
  </si>
  <si>
    <t>TOTAL VALORIZACIONES</t>
  </si>
  <si>
    <t>TOTAL OTROS ACTIVOS</t>
  </si>
  <si>
    <t>TOTAL ACTIVO</t>
  </si>
  <si>
    <t>CUENTAS DE ORDEN DEUDORAS</t>
  </si>
  <si>
    <t>CUENTAS DE ORDEN POR CONTRA</t>
  </si>
  <si>
    <t>P A S I V O</t>
  </si>
  <si>
    <t>PASIVO CORRIENTE</t>
  </si>
  <si>
    <t>OBLIGACIONES FINANCIERAS</t>
  </si>
  <si>
    <t>PROVEEDORES</t>
  </si>
  <si>
    <t>CUENTAS POR PAGAR</t>
  </si>
  <si>
    <t>COSTOS Y GASTOS POR PAGAR</t>
  </si>
  <si>
    <t>DEUDAS CON ACCIONISTAS O SOCIOS</t>
  </si>
  <si>
    <t>RETENCION EN LA FUENTE</t>
  </si>
  <si>
    <t>IMPTO. A LAS VENTAS RETENIDO</t>
  </si>
  <si>
    <t>RETENCIONES Y APORTES DE NOMINA</t>
  </si>
  <si>
    <t>ACREEDORES VARIOS</t>
  </si>
  <si>
    <t>TOTAL CUENTAS POR PAGAR</t>
  </si>
  <si>
    <t>IMPUESTOS, GRAVAMENES Y TASAS</t>
  </si>
  <si>
    <t>DE RENTA Y COMPLEMENTARIOS</t>
  </si>
  <si>
    <t>IMPTO. SOBRE LAS VENTAS POR PAGAR</t>
  </si>
  <si>
    <t>DE INDUSTRIA Y COMERCIO</t>
  </si>
  <si>
    <t>TOTAL IMPUESTOS, GRAVAMENES Y TASAS</t>
  </si>
  <si>
    <t>OBLIGACIONES LABORALES</t>
  </si>
  <si>
    <t>SALARIOS POR PAGAR</t>
  </si>
  <si>
    <t>CESANTIAS CONSOLIDADES</t>
  </si>
  <si>
    <t>INTERESES SOBRE CESANTIAS</t>
  </si>
  <si>
    <t>PRIMA DE SERVICIOS</t>
  </si>
  <si>
    <t>VACACIONES</t>
  </si>
  <si>
    <t>TOTAL OBLIGACIONES LABORALES</t>
  </si>
  <si>
    <t>PASIVOS ESTIMADOS Y PROVISIONES</t>
  </si>
  <si>
    <t>PARA COSTOS Y GASTOS</t>
  </si>
  <si>
    <t>TOTAL PASIVOS ESTIMADOS Y RPOVISIONES</t>
  </si>
  <si>
    <t>TOTAL PASIVO CORRIENTE</t>
  </si>
  <si>
    <t>OTROS PASIVOS</t>
  </si>
  <si>
    <t>ANTICIPOS Y AVANCES RECIBIDOS</t>
  </si>
  <si>
    <t>CREDITO x CORRECCION MONETARIA DIFERIDA</t>
  </si>
  <si>
    <t>TOTAL OTROS PASIVOS</t>
  </si>
  <si>
    <t>PASIVO NO CORRIENTE</t>
  </si>
  <si>
    <t>CESANTIAS A LARGO PLAZO</t>
  </si>
  <si>
    <t>TOTAL PASIVO NO CORRIENTE</t>
  </si>
  <si>
    <t>TOTAL PASIVO</t>
  </si>
  <si>
    <t>P A T R I M O N I O</t>
  </si>
  <si>
    <t>CAPITAL SOCIAL</t>
  </si>
  <si>
    <t>RESERVAS</t>
  </si>
  <si>
    <t>REVALORIZACION DEL PATRIMONIO</t>
  </si>
  <si>
    <t>RESULTADOS DEL EJERCICIO</t>
  </si>
  <si>
    <t>RESULTADOS DE EJERCICIOS ANTERIORES</t>
  </si>
  <si>
    <t>SUPERAVIT POR VALORIZACION</t>
  </si>
  <si>
    <t>TOTAL PATRIMONIO</t>
  </si>
  <si>
    <t>TOTAL PASIVO Y PATRIMONIO</t>
  </si>
  <si>
    <t>CUENTAS DE ORDEN DEUDORAS POR CONTRA</t>
  </si>
  <si>
    <t>CUENTAS DE ORDEN ACREEDORAS</t>
  </si>
  <si>
    <t>VARIACIONES</t>
  </si>
  <si>
    <t>VARIACION</t>
  </si>
  <si>
    <t>%</t>
  </si>
  <si>
    <t>VERTICAL</t>
  </si>
  <si>
    <t>BALANCE GENERAL</t>
  </si>
  <si>
    <t>VENTA DE ADORNOS EN EL PAIS</t>
  </si>
  <si>
    <t>VENTA DE ADORNOS EN EL EXTERIOR</t>
  </si>
  <si>
    <t>TOTAL VENTAS BRUTAS</t>
  </si>
  <si>
    <t>MENOS: DEVOL., REBAJAS Y DCTOS. EN VTAS.</t>
  </si>
  <si>
    <t>INGRESOS OPERACIONALES</t>
  </si>
  <si>
    <t>COSTO DE VENTAS</t>
  </si>
  <si>
    <t>UTILIDAD O (PERDIDA) BRUTA EN VENTAS</t>
  </si>
  <si>
    <t>MENOS: GASTOS OPERACIONALES</t>
  </si>
  <si>
    <t>GASTOS DE ADMINISTRACION</t>
  </si>
  <si>
    <t>DE PERSONAL</t>
  </si>
  <si>
    <t>GENERALES</t>
  </si>
  <si>
    <t>TOTAL GASTOS DE ADMINISTRACION</t>
  </si>
  <si>
    <t>GASTOS DE VENTAS</t>
  </si>
  <si>
    <t>TOTAL GASTOS DE VENTAS</t>
  </si>
  <si>
    <t>TOTAL GASTOS OPERACIONALES</t>
  </si>
  <si>
    <t>UTILIDAD O (PERDIDA) OPERACIONAL</t>
  </si>
  <si>
    <t>MAS: INGRESOS NO OPERACIONALES</t>
  </si>
  <si>
    <t>OTRAS VENTAS</t>
  </si>
  <si>
    <t>FINANCIEROS</t>
  </si>
  <si>
    <t>OTROS INGRESOS NO OPERACIONALES</t>
  </si>
  <si>
    <t>TOTAL INGRESOS NO OPERACIONALES</t>
  </si>
  <si>
    <t>MENOS: GASTOS NO OPERACIONALES</t>
  </si>
  <si>
    <t>TOTAL GASTOS NO OPERACIONALES</t>
  </si>
  <si>
    <t>TOTAL NO OPERACIONALES</t>
  </si>
  <si>
    <t>UTILIDAD ANTES DE AJUSTE POR INFLACION</t>
  </si>
  <si>
    <t>UTILIDAD ANTES DE IMPUESTO</t>
  </si>
  <si>
    <t>MENOS: IMPTO. DE RENTA Y COMPLEMENTARIOS</t>
  </si>
  <si>
    <t>UTILIDAD DESPUES DE IMPUESTOS</t>
  </si>
  <si>
    <t>ABSOLUTA</t>
  </si>
  <si>
    <t>RELATIVA</t>
  </si>
  <si>
    <t>ANALISIS</t>
  </si>
  <si>
    <t>ESTADO DE RESULTADOS</t>
  </si>
  <si>
    <t>CUENTA</t>
  </si>
  <si>
    <t>D E S C R I P C I O N</t>
  </si>
  <si>
    <t>ACUMULADO</t>
  </si>
  <si>
    <t>OPERACIONALES DE ADMINISTRACION</t>
  </si>
  <si>
    <t>GASTOS DE PERSONAL</t>
  </si>
  <si>
    <t>SALARIO INTEGRAL</t>
  </si>
  <si>
    <t>SUELDOS</t>
  </si>
  <si>
    <t>HORAS EXTRAS Y RECARGOS</t>
  </si>
  <si>
    <t>INCAPACIDADES</t>
  </si>
  <si>
    <t>AUXILIO DE TRANSPORTE</t>
  </si>
  <si>
    <t>CESANTIAS</t>
  </si>
  <si>
    <t>INTERESES S/CESANTIAS</t>
  </si>
  <si>
    <t>BONIFICACIONES</t>
  </si>
  <si>
    <t>CAPACITACION AL PERSONAL</t>
  </si>
  <si>
    <t>APORTES A A.R.P.</t>
  </si>
  <si>
    <t>APORTES A E.P.S.</t>
  </si>
  <si>
    <t>APORTES A FONDOS DE PENSION. Y/</t>
  </si>
  <si>
    <t>APORTES CAJAS DE COMPENSAC. FLI</t>
  </si>
  <si>
    <t>APORTES ICBF</t>
  </si>
  <si>
    <t>SENA</t>
  </si>
  <si>
    <t>GASTOS MEDICOS Y DROGAS</t>
  </si>
  <si>
    <t>OTROS</t>
  </si>
  <si>
    <t>***</t>
  </si>
  <si>
    <t>HONORARIOS</t>
  </si>
  <si>
    <t>REVISORIA FISCAL</t>
  </si>
  <si>
    <t>ASESORIA JURIDICA</t>
  </si>
  <si>
    <t>ASESORIA TECNICA</t>
  </si>
  <si>
    <t>IMPUESTOS</t>
  </si>
  <si>
    <t>INDUSTRIA Y COMERCIO</t>
  </si>
  <si>
    <t>DE TIMBRES</t>
  </si>
  <si>
    <t>DE VEHICULOS</t>
  </si>
  <si>
    <t>IVA DESCONTABLE</t>
  </si>
  <si>
    <t>ARRENDAMIENTOS</t>
  </si>
  <si>
    <t>CONTRIBUCIONES Y AFILIACIONES</t>
  </si>
  <si>
    <t>CONTRIBUCIONES</t>
  </si>
  <si>
    <t>AFILIACIONES Y SOSTENIMIENTO</t>
  </si>
  <si>
    <t>SEGUROS</t>
  </si>
  <si>
    <t>CORRIENTE DEBIL</t>
  </si>
  <si>
    <t>RESPONSABILIDAD CIVIL Y EXTRACO</t>
  </si>
  <si>
    <t>OBLIGATORIO ACCIDENTE DE TRANSI</t>
  </si>
  <si>
    <t>SERVICIOS</t>
  </si>
  <si>
    <t>TELEFONO</t>
  </si>
  <si>
    <t>CORREO, PORTES Y TELEGRAMAS</t>
  </si>
  <si>
    <t>TRANSPORTE, FLETES Y ACARREOS</t>
  </si>
  <si>
    <t>GASTOS LEGALES</t>
  </si>
  <si>
    <t>NOTARIALES</t>
  </si>
  <si>
    <t>REGISTRO MERCANTIL</t>
  </si>
  <si>
    <t>MANTENIMIENTO Y REPARACIONES</t>
  </si>
  <si>
    <t>EQUIPO DE COMPUTACION Y COMUNIC</t>
  </si>
  <si>
    <t>ADECUACION E INSTALACION</t>
  </si>
  <si>
    <t>INSTALACIONES ELECTRICAS</t>
  </si>
  <si>
    <t>OTRAS</t>
  </si>
  <si>
    <t>GASTOS DE VIAJE</t>
  </si>
  <si>
    <t>ALOJAMIENTO Y MANUTENCION</t>
  </si>
  <si>
    <t>PASAJES AEREOS</t>
  </si>
  <si>
    <t>DEPRECIACIONES</t>
  </si>
  <si>
    <t>DIVERSOS</t>
  </si>
  <si>
    <t>LIBROS, SUSCRIP., PERIODICOS Y</t>
  </si>
  <si>
    <t>MUSICA AMBIENTAL</t>
  </si>
  <si>
    <t>GASTOS DE REPRESENT. Y RELAC. P</t>
  </si>
  <si>
    <t>ELEMENTOS DE ASEO Y CAFETERIA</t>
  </si>
  <si>
    <t>UTILES, PAPELERIA Y FOTOCOPIAS</t>
  </si>
  <si>
    <t>COMBUSTIBLES Y LUBRICANTES</t>
  </si>
  <si>
    <t>TAXIS Y BUSES</t>
  </si>
  <si>
    <t>CASINO Y RESTAURANTE</t>
  </si>
  <si>
    <t>PARQUEADEROS</t>
  </si>
  <si>
    <t>PROVISIONES</t>
  </si>
  <si>
    <t>DEUDORES</t>
  </si>
  <si>
    <t>**</t>
  </si>
  <si>
    <t>OPERACIONALES DE VENTAS</t>
  </si>
  <si>
    <t>APORTES A CAJAS DE COMPENSAC. F</t>
  </si>
  <si>
    <t>APORTES A ICBF</t>
  </si>
  <si>
    <t>TRANSPORTE, FLETES Y ACARREROS</t>
  </si>
  <si>
    <t>PUBLICIDAD, PROPAGANDA Y PROMOC</t>
  </si>
  <si>
    <t>ADUANEROS</t>
  </si>
  <si>
    <t>GASTOS VIAJES</t>
  </si>
  <si>
    <t>PASAJES TERRESTRES</t>
  </si>
  <si>
    <t>COMISIONES</t>
  </si>
  <si>
    <t>GTOS. DE REPRESENT. Y RELAC. PU</t>
  </si>
  <si>
    <t xml:space="preserve"> ******         INDUSTRIAS FANA LTDA.         ******</t>
  </si>
  <si>
    <t>890.302.936-4</t>
  </si>
  <si>
    <t xml:space="preserve"> </t>
  </si>
  <si>
    <t xml:space="preserve"> A C T I V O S</t>
  </si>
  <si>
    <t xml:space="preserve"> Caja</t>
  </si>
  <si>
    <t xml:space="preserve"> Bancos</t>
  </si>
  <si>
    <t xml:space="preserve"> Cuentas de Ahorro</t>
  </si>
  <si>
    <t xml:space="preserve">INVERSIONES </t>
  </si>
  <si>
    <t xml:space="preserve"> Certificados</t>
  </si>
  <si>
    <t xml:space="preserve"> Derechos Fiduciarios</t>
  </si>
  <si>
    <t xml:space="preserve"> Clientes</t>
  </si>
  <si>
    <t xml:space="preserve"> Socios</t>
  </si>
  <si>
    <t xml:space="preserve"> Anticipos y Avances</t>
  </si>
  <si>
    <t xml:space="preserve"> Ingresos pos Cobrar</t>
  </si>
  <si>
    <t xml:space="preserve"> Anticipo Impuestos y Contribuciones</t>
  </si>
  <si>
    <t xml:space="preserve"> Cuentas por cobrar a Trabajadores</t>
  </si>
  <si>
    <t xml:space="preserve"> Deudores Varios</t>
  </si>
  <si>
    <t xml:space="preserve"> Provision para proteccion de cartera</t>
  </si>
  <si>
    <t xml:space="preserve"> Seguros y Fianzas</t>
  </si>
  <si>
    <t xml:space="preserve"> Otros</t>
  </si>
  <si>
    <t xml:space="preserve"> Materia Prima</t>
  </si>
  <si>
    <t xml:space="preserve"> Productos en Proceso</t>
  </si>
  <si>
    <t xml:space="preserve"> Productos Terminados</t>
  </si>
  <si>
    <t xml:space="preserve"> Mercancias No Fabricadas x la Empresa</t>
  </si>
  <si>
    <t xml:space="preserve"> Materiales,Repuestos y Accesorios</t>
  </si>
  <si>
    <t xml:space="preserve"> Inventarios en Transito</t>
  </si>
  <si>
    <t xml:space="preserve"> Cuotas o partes de Interes Social</t>
  </si>
  <si>
    <t xml:space="preserve"> Ajustes por Inflacion</t>
  </si>
  <si>
    <t xml:space="preserve"> Bonos para la Seguridad</t>
  </si>
  <si>
    <t xml:space="preserve"> Bonos de solidaridad para la paz</t>
  </si>
  <si>
    <t xml:space="preserve"> Terrenos</t>
  </si>
  <si>
    <t xml:space="preserve"> Construcciones y Edificios</t>
  </si>
  <si>
    <t xml:space="preserve"> Maquinaria y Equipo Industrial</t>
  </si>
  <si>
    <t xml:space="preserve"> Equipo de Oficina</t>
  </si>
  <si>
    <t xml:space="preserve"> Equipo de Computacion</t>
  </si>
  <si>
    <t xml:space="preserve"> Flota y Equipo de Transporte</t>
  </si>
  <si>
    <t xml:space="preserve"> Depreciacion Acumulada</t>
  </si>
  <si>
    <t>CARGOS POR CORRECCION MONETARIA DIFERIDA</t>
  </si>
  <si>
    <t xml:space="preserve">VALORIZACIONES </t>
  </si>
  <si>
    <t xml:space="preserve"> De Inversiones</t>
  </si>
  <si>
    <t xml:space="preserve"> De propiedades, planta y equipo</t>
  </si>
  <si>
    <t>TOTAL ACTIVOS</t>
  </si>
  <si>
    <t xml:space="preserve">CUENTAS DE ORDEN </t>
  </si>
  <si>
    <t xml:space="preserve"> Diferencias fiscales</t>
  </si>
  <si>
    <t xml:space="preserve"> Deudoras de Control</t>
  </si>
  <si>
    <t xml:space="preserve"> Derechos Contingentes</t>
  </si>
  <si>
    <t xml:space="preserve"> Responsabilidades Contingentes</t>
  </si>
  <si>
    <t xml:space="preserve">TOTAL CUENTAS DE ORDEN </t>
  </si>
  <si>
    <t>P A S I V O S</t>
  </si>
  <si>
    <t xml:space="preserve"> Costos y Gastos por Pagar</t>
  </si>
  <si>
    <t xml:space="preserve"> Retencion en la Fuente</t>
  </si>
  <si>
    <t xml:space="preserve"> Impuesto a las ventas retenido</t>
  </si>
  <si>
    <t xml:space="preserve"> Retenciones y Aportes de Nomina</t>
  </si>
  <si>
    <t xml:space="preserve"> Acreedores Varios</t>
  </si>
  <si>
    <t>IMPUESTO GRAVAMENES Y TASAS</t>
  </si>
  <si>
    <t xml:space="preserve"> Impuesto de Renta</t>
  </si>
  <si>
    <t xml:space="preserve"> Impuesto sobre Ventas por Pagar</t>
  </si>
  <si>
    <t xml:space="preserve"> Otros Impuestos y Gravamenes</t>
  </si>
  <si>
    <t xml:space="preserve"> Cesantias Consolidadas</t>
  </si>
  <si>
    <t xml:space="preserve"> Intereses sobre cesantias</t>
  </si>
  <si>
    <t xml:space="preserve"> Prima de Servicios</t>
  </si>
  <si>
    <t xml:space="preserve"> Vacaciones</t>
  </si>
  <si>
    <t>CREDITO CORRECCION MONETARIA DIFERIDA</t>
  </si>
  <si>
    <t>PROVISION PARA COSTOS Y GASTOS</t>
  </si>
  <si>
    <t>CESANTIAS CONSOLIDADAS</t>
  </si>
  <si>
    <t>TOTAL PASIVOS</t>
  </si>
  <si>
    <t>PATRIMONIO</t>
  </si>
  <si>
    <t>SUPERAVIT POR VALORIZACIONES</t>
  </si>
  <si>
    <t>TOTAL CUENTAS DE ORDEN POR CONTRA</t>
  </si>
  <si>
    <t>REPRESENTANTE LEGAL</t>
  </si>
  <si>
    <t>CONTADORA</t>
  </si>
  <si>
    <t>VENTAS DE ADORNOS EN EL PAIS</t>
  </si>
  <si>
    <t>VENTAS DE ADORNOS EN EL EXTERIOR</t>
  </si>
  <si>
    <t>MENOS : DEVOL.REBAJAS Y DCTOS EN VENTAS</t>
  </si>
  <si>
    <t>MENOS : GASTOS OPERACIONALES</t>
  </si>
  <si>
    <t xml:space="preserve"> De Personal</t>
  </si>
  <si>
    <t xml:space="preserve"> Generales</t>
  </si>
  <si>
    <t>MAS : INGRESOS NO OPERACIONALES</t>
  </si>
  <si>
    <t xml:space="preserve"> Otras Ventas</t>
  </si>
  <si>
    <t xml:space="preserve"> Financieros</t>
  </si>
  <si>
    <t xml:space="preserve"> Otros Ingresos No Operacionales</t>
  </si>
  <si>
    <t>MENOS : GASTOS NO OPERACIONALES</t>
  </si>
  <si>
    <t>UTILIDAD ANTES DE AJUSTES POR INFLACION</t>
  </si>
  <si>
    <t>MENOS : IMPUESTO DE RENTA Y COMPLEMENTARIOS</t>
  </si>
  <si>
    <t xml:space="preserve"> I N D U S T R I A S  F A N A  L T D A.</t>
  </si>
  <si>
    <t>COMPARATIVO DE ESTADO DE FLUJOS DE EFECTIVO</t>
  </si>
  <si>
    <t>POR LOS AÑOS 1998 A 2000</t>
  </si>
  <si>
    <t>METODO DIRECTO</t>
  </si>
  <si>
    <t>ACTIVIDADES DE OPERACION</t>
  </si>
  <si>
    <t>RECAUDO DE CLIENTES</t>
  </si>
  <si>
    <t>EFECTIVO PAGADO A:</t>
  </si>
  <si>
    <t>EMPLEADOS</t>
  </si>
  <si>
    <t>APORTES</t>
  </si>
  <si>
    <t>OTROS ACREEDORES</t>
  </si>
  <si>
    <t>EFECTIVO NETO  OPERACION</t>
  </si>
  <si>
    <t>COSTO INTEGRAL FINANCIAMIENTO</t>
  </si>
  <si>
    <t>EFECTIVO RECIBIDO POR:</t>
  </si>
  <si>
    <t>PRESTAMOS BANCARIOS</t>
  </si>
  <si>
    <t>RENDIMIENTO  INVERSIONES</t>
  </si>
  <si>
    <t>OTROS INGRESOS</t>
  </si>
  <si>
    <t>REAJUSTE MONETARIO UPAC</t>
  </si>
  <si>
    <t>EFECTIVO PAGADO POR:</t>
  </si>
  <si>
    <t>GASTOS BANCARIOS</t>
  </si>
  <si>
    <t xml:space="preserve">NETO COSTO </t>
  </si>
  <si>
    <t xml:space="preserve"> INTEGRAL FINANCIAMIENTO</t>
  </si>
  <si>
    <t xml:space="preserve">EFECTIVO NETO </t>
  </si>
  <si>
    <t xml:space="preserve">   ACTIVIDAD OPERATIVA</t>
  </si>
  <si>
    <t>ACTIVIDADES DE INVERSION</t>
  </si>
  <si>
    <t>RECAUDO    EMPLEADOS</t>
  </si>
  <si>
    <t>REDENCION  INVERSIONES</t>
  </si>
  <si>
    <t>COMPRA DE INVERSIONES</t>
  </si>
  <si>
    <t>VENTA DE EQUIPOS</t>
  </si>
  <si>
    <t>COMPRA DE EQUIPOS</t>
  </si>
  <si>
    <t>ACTIVIDADES DE FINANCIACION</t>
  </si>
  <si>
    <t>PAGO OBLIG.  LARGO PLAZO</t>
  </si>
  <si>
    <t>PAGO DE DIVIDENDOS</t>
  </si>
  <si>
    <t>NETO ACTIV.  FINANCIACION</t>
  </si>
  <si>
    <t>AUMENTO EN EFECTIVO</t>
  </si>
  <si>
    <t>SALDO INICIAL</t>
  </si>
  <si>
    <t>SALDO FINAL</t>
  </si>
  <si>
    <t>NETO ACTIVIDADES  DE INVERSION</t>
  </si>
  <si>
    <t>AGOSTO 1.998</t>
  </si>
  <si>
    <t>AGOSTO 1.999</t>
  </si>
  <si>
    <t>AGOSTO 2.000</t>
  </si>
  <si>
    <t>BALANCE GENERAL A SEPTIEMBRE 30 DEL 2000</t>
  </si>
  <si>
    <t>DEL 1o. DE ENERO AL 30 DE SEPTIEMBRE DEL 2.000</t>
  </si>
  <si>
    <t>Otros gastos no operacionales</t>
  </si>
  <si>
    <t>OCTUBRE</t>
  </si>
  <si>
    <t>2000/01 AL 2000/10</t>
  </si>
  <si>
    <t>1999/01 AL 1999/10</t>
  </si>
  <si>
    <t>PARTICIPACIONES POR PAGAR</t>
  </si>
  <si>
    <t>ENERO</t>
  </si>
  <si>
    <t>FEBRERO</t>
  </si>
  <si>
    <t>MARZO</t>
  </si>
  <si>
    <t>ABRIL</t>
  </si>
  <si>
    <t>MAYO</t>
  </si>
  <si>
    <t>JUNIO</t>
  </si>
  <si>
    <t>JULIO</t>
  </si>
  <si>
    <t>AGOSO</t>
  </si>
  <si>
    <t>SEPTIEMBRE</t>
  </si>
  <si>
    <t>NOVIEMBRE</t>
  </si>
  <si>
    <t>DICIEMBRE</t>
  </si>
  <si>
    <t>VENTAS</t>
  </si>
  <si>
    <t>PORCIENTO DE UTILIDAD BRUTA</t>
  </si>
  <si>
    <t>INDUSTRIA MODERNA, S.A.</t>
  </si>
  <si>
    <t>INDUSTRIA MODERNA,S.A.</t>
  </si>
  <si>
    <t>VENTA EN EL PAIS</t>
  </si>
  <si>
    <t>VENTA  EN EL EXTERIOR</t>
  </si>
  <si>
    <t>VENTA EN EL EXTERIOR</t>
  </si>
  <si>
    <t>INDUSTRIAS MODERNA, S.A.</t>
  </si>
  <si>
    <t>DECLARACION DE RENTA Y COMPLEMENTARIOS AÑO GRAVABLE 2.000</t>
  </si>
  <si>
    <t>DISCRIMINACION PARTIDAS EN EL FORMULARIO</t>
  </si>
  <si>
    <t>RENGLON</t>
  </si>
  <si>
    <t>DETALLE</t>
  </si>
  <si>
    <t>VALOR</t>
  </si>
  <si>
    <t>C</t>
  </si>
  <si>
    <t xml:space="preserve">    1</t>
  </si>
  <si>
    <t>EFECTIVO, BANCOS, CUENTAS DE AHORRO.....</t>
  </si>
  <si>
    <t>EFECTIVO, BANCOS Y CTAS AHORRO</t>
  </si>
  <si>
    <t>INVERSIONES MONETARIAS (NALES)</t>
  </si>
  <si>
    <t>INVERSIONES MONETARIAS (EXT)</t>
  </si>
  <si>
    <t>CUENTAS POR COBRAR CLIENTES Y OTROS</t>
  </si>
  <si>
    <t>CUENTAS POR COBRAR SOCIOS</t>
  </si>
  <si>
    <t>ACCIONES Y APORTES EN SOCIEDADES</t>
  </si>
  <si>
    <t>ANONIMAS, LIMITADAS, ASIMILADAS</t>
  </si>
  <si>
    <t>VALORIZACION</t>
  </si>
  <si>
    <t>MATERIA PRIMA</t>
  </si>
  <si>
    <t>PRODUCTO TERMINADO</t>
  </si>
  <si>
    <t>M/CIA NO FABRICADA</t>
  </si>
  <si>
    <t>MATERIALES Y REPUESTOS</t>
  </si>
  <si>
    <t>REAJUSTES FISCALES</t>
  </si>
  <si>
    <t>SEMOVIENTES</t>
  </si>
  <si>
    <t>ACTIVOS FIJOS NO DEPRECIABLES</t>
  </si>
  <si>
    <t>REAJUSTES FISCALES TERRENOS</t>
  </si>
  <si>
    <t>REAJ. FISCAL. A x I TERRENOS</t>
  </si>
  <si>
    <t>ACTIVOS FIJOS DEPRECIABLES</t>
  </si>
  <si>
    <t>EDIFICIOS</t>
  </si>
  <si>
    <t>REAJUSTES FISCALES EDIFICIOS</t>
  </si>
  <si>
    <t>REAJ. FISCAL. A x I EDIFICIOS</t>
  </si>
  <si>
    <t>MAQUINARIA, EQUIPOS, VEHICULOS</t>
  </si>
  <si>
    <t>REAJUSTE FISCAL</t>
  </si>
  <si>
    <t>MENOS DEPRECIACION ACUMULADA</t>
  </si>
  <si>
    <t>INVERSIONES OBLIGATORIAS</t>
  </si>
  <si>
    <t>CARGO CORREC. MONET. DIF.</t>
  </si>
  <si>
    <t>TOTAL PATRIMONIO BRUTO</t>
  </si>
  <si>
    <t>D</t>
  </si>
  <si>
    <t>PASIVOS</t>
  </si>
  <si>
    <t>CUENTAS POR PAGAR PROVEEDORES</t>
  </si>
  <si>
    <t>CUENTAS POR PAGAR SOCIOS</t>
  </si>
  <si>
    <t>CUENTAS POR PAGAR SECTOR FINANCIERO</t>
  </si>
  <si>
    <t>APORTES DE NOMINA</t>
  </si>
  <si>
    <t>I.V.A. RETENIDO</t>
  </si>
  <si>
    <t>IMPUESTO DE RENTA</t>
  </si>
  <si>
    <t>IMPUESTO INDUSTRIA Y COMERCIO</t>
  </si>
  <si>
    <t>CR. CORRECCION MONETARIA DIFERIDA</t>
  </si>
  <si>
    <t>TOTAL PATRIMONIO LIQUIDO POSITIVO</t>
  </si>
  <si>
    <t>TOTAL PATRIMONIO LIQUIDO NEGATIVO</t>
  </si>
  <si>
    <t>E</t>
  </si>
  <si>
    <t xml:space="preserve">INGRESOS </t>
  </si>
  <si>
    <t>VENTAS BRUTAS</t>
  </si>
  <si>
    <t>VENTA ADORNOS EN EL PAIS</t>
  </si>
  <si>
    <t>VENTA ADORNOS EN EL EXTERIOR</t>
  </si>
  <si>
    <t>HONORARIOS, COMISIONES Y SERVICIOS</t>
  </si>
  <si>
    <t>INTERESES Y RENDIMIENTOS FINANCIEROS</t>
  </si>
  <si>
    <t>DIFERENCIA EN CAMBIO</t>
  </si>
  <si>
    <t>DIVIDENDOS Y PARTICIPACIONES</t>
  </si>
  <si>
    <t>OTROS INGRESOS DISTINTOS DE LOS ANTERIORES</t>
  </si>
  <si>
    <t>RECUPERACIONES</t>
  </si>
  <si>
    <t>TOTAL INGRESOS BRUTOS</t>
  </si>
  <si>
    <t>MENOS DEVOLUCIONES, DESCUENTOS Y REBAJAS</t>
  </si>
  <si>
    <t>INGRESOS NO CONSTITUTIVOS DE RENTA</t>
  </si>
  <si>
    <t>NI GANANCIA OCASIONAL</t>
  </si>
  <si>
    <t>OTROS DISTINTOS DE LOS ANTERIORES</t>
  </si>
  <si>
    <t>RECUPERACION DE PROVISIONES</t>
  </si>
  <si>
    <t>INDEMNIZACIONES</t>
  </si>
  <si>
    <t>TOTAL INGRESOS NETOS</t>
  </si>
  <si>
    <t>F</t>
  </si>
  <si>
    <t>COSTOS</t>
  </si>
  <si>
    <t xml:space="preserve">COSTO DE VENTA </t>
  </si>
  <si>
    <t>INVENTARIO INICIAL</t>
  </si>
  <si>
    <t>MAS COMPRAS</t>
  </si>
  <si>
    <t>MANO DE OBRA DIRECTA</t>
  </si>
  <si>
    <t>INTERESES Y COSTOS FINANCIEROS</t>
  </si>
  <si>
    <t>MAS COSTOS INDIRECTOS DE FABRICA</t>
  </si>
  <si>
    <t>MENOS INVENTARIOS FINALES</t>
  </si>
  <si>
    <t>OTROS COSTOS</t>
  </si>
  <si>
    <t>TOTAL COSTOS</t>
  </si>
  <si>
    <t>G</t>
  </si>
  <si>
    <t>DEDUCCIONES</t>
  </si>
  <si>
    <t>HONORARIOS Y COMISIONES</t>
  </si>
  <si>
    <t>SALARIOS Y PRESTACIONES Y OTROS PAGOS LABORALES</t>
  </si>
  <si>
    <t>(INCLUIDOS APORTES PARAFISCALES)</t>
  </si>
  <si>
    <t>DOTACION A TRABAJADORES</t>
  </si>
  <si>
    <t>INDEMNIZACIONES LABORALES</t>
  </si>
  <si>
    <t>OTROS GASTOS DEL PERSONAL</t>
  </si>
  <si>
    <t>APORTES SALUD</t>
  </si>
  <si>
    <t>APORTES PENSIONES</t>
  </si>
  <si>
    <t>APORTES CAJAS DE COMPENSACION</t>
  </si>
  <si>
    <t>APORTES AL I.C.B.F.</t>
  </si>
  <si>
    <t>APORTES AL SENA</t>
  </si>
  <si>
    <t>INTERESES Y DEMAS GASTOS FINANCIEROS NACIONALES</t>
  </si>
  <si>
    <t>INTERESES BANCARIOS</t>
  </si>
  <si>
    <t>GASTOS EFECTUADOS EN EL EXTERIOR</t>
  </si>
  <si>
    <t>COMISIONES POR VENTAS</t>
  </si>
  <si>
    <t>COMISIONES Y GASTOS BANCARIOS</t>
  </si>
  <si>
    <t>DEPRECIACION, AMORTIZACION Y AGOTAMIENTO</t>
  </si>
  <si>
    <t>DEPRECIACIONES ADMINISTRACION</t>
  </si>
  <si>
    <t>DEPRECIACIONES VENTAS</t>
  </si>
  <si>
    <t>DEDUCCION IVA POR BIENES DE CAPITAL</t>
  </si>
  <si>
    <t>OTRAS DEDUCCIONES (SERVICIOS, ARRENDAMIENTOS, ETC.)</t>
  </si>
  <si>
    <t>MANTENIM. Y REPARACIONES</t>
  </si>
  <si>
    <t>LIBROS, SUSCRIP. PERIOD. Y REVISTAS</t>
  </si>
  <si>
    <t>GTOS. DE REPRES. Y REL. PUBLICAS</t>
  </si>
  <si>
    <t>UTILES PAPELERIA Y FOTOCOPIAS</t>
  </si>
  <si>
    <t>COMBUSTIBLES</t>
  </si>
  <si>
    <t>ENVASES Y EMPAQUES</t>
  </si>
  <si>
    <t>CONTRIBUC. Y AFILIACIONES</t>
  </si>
  <si>
    <t>SALDO DEBITO POR CORREC. MONETARIA</t>
  </si>
  <si>
    <t>PERDIDA EN VENTA DE BIENES</t>
  </si>
  <si>
    <t>PUBLICIDAD Y PROPAGANDA</t>
  </si>
  <si>
    <t>TOTAL DEDUCCIONES</t>
  </si>
  <si>
    <t>TOTAL COSTOS Y DEDUCCIONES</t>
  </si>
  <si>
    <t>H</t>
  </si>
  <si>
    <t>RENTA</t>
  </si>
  <si>
    <t>RENTA LIQUIDA  DEL EJERCICIO</t>
  </si>
  <si>
    <t>COMPENSACION POR PERDIDAS</t>
  </si>
  <si>
    <t>RENTA LIQUIDA</t>
  </si>
  <si>
    <t>O PERDIDA LIQUIDA</t>
  </si>
  <si>
    <t>RENTA PRESUNTIVA</t>
  </si>
  <si>
    <t>MENOS RENTAS EXENTAS</t>
  </si>
  <si>
    <t>LEY PAEZ</t>
  </si>
  <si>
    <t>EJE CAFETERO</t>
  </si>
  <si>
    <t>OTRAS RENTAS EXENTAS</t>
  </si>
  <si>
    <t>TOTAL RENTAS EXENTAS</t>
  </si>
  <si>
    <t>RENTA LIQUIDA GRAVABLE</t>
  </si>
  <si>
    <t>I       57</t>
  </si>
  <si>
    <t>INGRESOS SUSCEPTIBLES DE CONSTITUIR</t>
  </si>
  <si>
    <t>GANANCIA OCASIONAL</t>
  </si>
  <si>
    <t>MENOS COSTOS Y PARTE NO GRAVADA</t>
  </si>
  <si>
    <t>GANANCIA OCASIONAL GRAVABLE</t>
  </si>
  <si>
    <t>J</t>
  </si>
  <si>
    <t>LIQUIDACION PRIVADA</t>
  </si>
  <si>
    <t>IMPUESTO SOBRE LA RENTA GRAVABLE</t>
  </si>
  <si>
    <t>DESCUENTOS TRIBUTARIOS</t>
  </si>
  <si>
    <t>IVA POR BIENES DE CAPITAL</t>
  </si>
  <si>
    <t>GENERACION DE EMPLEO</t>
  </si>
  <si>
    <t>DONACIONES</t>
  </si>
  <si>
    <t>OTROS DESCUENTOS TRIBUTARIOS</t>
  </si>
  <si>
    <t>POR CERTS</t>
  </si>
  <si>
    <t>IMPUESTO NETO DE RENTA</t>
  </si>
  <si>
    <t>IMPUESTO RECUPERADO</t>
  </si>
  <si>
    <t>TOTAL IMPUESTO NETO DE RENTA</t>
  </si>
  <si>
    <t>MAS IMPUESTO DE GANANCIAS OCASIONALES</t>
  </si>
  <si>
    <t>MAS IMPUESTO DE REMESAS</t>
  </si>
  <si>
    <t>TOTAL IMPUESTO A CARGO</t>
  </si>
  <si>
    <t>MENOS RETENCIONES QUE LE PRACTICARON EN 2000</t>
  </si>
  <si>
    <t>REMESAS Y PAGOS AL EXTERIOR</t>
  </si>
  <si>
    <t>RENDIMIENTOS FINANCIEROS</t>
  </si>
  <si>
    <t>ARRENDAMIENTOS (MUEBLES, INMUEBLES)</t>
  </si>
  <si>
    <t>AUTORETENCIONES</t>
  </si>
  <si>
    <t>OTRAS RETENCIONES</t>
  </si>
  <si>
    <t>TOTAL RETENCIONES AÑO GRAVABLE 2000</t>
  </si>
  <si>
    <t>MENOS SALDO FAVOR AÑO 1999</t>
  </si>
  <si>
    <t>MENOS ANTICIPO POR AÑO GRAVABLE 2000</t>
  </si>
  <si>
    <t>MAS ANTICIPO AÑO GRAVABLE 2001</t>
  </si>
  <si>
    <t>MAS SANCIONES</t>
  </si>
  <si>
    <t>TOTAL SALDO A PAGAR</t>
  </si>
  <si>
    <t>O TOTAL SALDO A FAVOR</t>
  </si>
  <si>
    <t>|::</t>
  </si>
  <si>
    <t>CALCULO RENTA PRESUNTIVA</t>
  </si>
  <si>
    <t>PROPORCION PATRIMONIO LIQUIDO AL PATRIMONIO BRUTO/99</t>
  </si>
  <si>
    <t>PATRIMONIO LIQUIDO/99</t>
  </si>
  <si>
    <t>PATRIMONIO BRUTO/99</t>
  </si>
  <si>
    <t xml:space="preserve">APORTES EN SOCIEDADES LTDAS. </t>
  </si>
  <si>
    <t>VALOR PATRIMONIAL APORTES</t>
  </si>
  <si>
    <t>PROPORCION  (PL/PB)</t>
  </si>
  <si>
    <t xml:space="preserve">PATRIMONIO LIQUIDO </t>
  </si>
  <si>
    <t>PATRIMONIO BRUTO</t>
  </si>
  <si>
    <t>/</t>
  </si>
  <si>
    <t>=</t>
  </si>
  <si>
    <t>VALOR PATRIMONIAL NETO DE INVERSIONES</t>
  </si>
  <si>
    <t>*</t>
  </si>
  <si>
    <t>-</t>
  </si>
  <si>
    <t xml:space="preserve">                    x 5% =</t>
  </si>
  <si>
    <t>CALCULO ANTICIPO PARA EL 2001</t>
  </si>
  <si>
    <t>(IMPTO NETO RENTA/99 + IMPTO NETO RENTA/00 (R69) ) x 75% - RETEFUENTE (R80)</t>
  </si>
  <si>
    <t>2</t>
  </si>
  <si>
    <t>+</t>
  </si>
  <si>
    <t>X</t>
  </si>
  <si>
    <t>ANTICIPO 2001</t>
  </si>
  <si>
    <t>MENOS DEVOLUCIONES, DESCUENTOS Y RABAJAS</t>
  </si>
  <si>
    <t>INDEMNIZACIONES SEGUROS DE DAÑO</t>
  </si>
  <si>
    <t>DIFERENCIA EN RENTA PRESUNTIVA</t>
  </si>
  <si>
    <t>DEDUCCION POR PERDIDAS</t>
  </si>
  <si>
    <t>DEDUCCION I.V.A. POR BIENES DE CAPITAL</t>
  </si>
  <si>
    <t>INVERSIONES EMPRESAS RIO PAEZ</t>
  </si>
  <si>
    <t>OTRAS DEDUCCIONES (SERVICIOS PUBLICOS, FLETES</t>
  </si>
  <si>
    <t>SEGUROS, IMPUESTOS, PUBLICIDAD, PROPAGANDA ETC)</t>
  </si>
  <si>
    <t xml:space="preserve">RENTA LIQUIDA </t>
  </si>
  <si>
    <t>I 60</t>
  </si>
  <si>
    <t>BENEFICIO ZONA RIO PAEZ</t>
  </si>
  <si>
    <t>IVA DEDUCIBLES POR OTROS BIENES</t>
  </si>
  <si>
    <t>DE CAPITAL</t>
  </si>
  <si>
    <t>MENOS ANTICIPO POR AÑO GRAVABLE 1999</t>
  </si>
  <si>
    <t>NIT 860987987-6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</si>
</sst>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&quot;$&quot;#,##0_);\(&quot;$&quot;#,##0\)"/>
    <numFmt numFmtId="166" formatCode="&quot;$&quot;#,##0.00_);\(&quot;$&quot;#,##0.00\)"/>
    <numFmt numFmtId="181" formatCode="_ * #,##0_ ;_ * \-#,##0_ ;_ * &quot;-&quot;??_ ;_ @_ "/>
    <numFmt numFmtId="183" formatCode="_(* #,##0_);_(* \(#,##0\);_(* &quot;-&quot;??_);_(@_)"/>
    <numFmt numFmtId="186" formatCode="0.000%"/>
    <numFmt numFmtId="187" formatCode="#,##0.0000_);\(#,##0.0000\)"/>
  </numFmts>
  <fonts count="18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1"/>
      <name val="Lucida Fax"/>
      <family val="1"/>
    </font>
    <font>
      <sz val="11"/>
      <name val="Lucida Fax"/>
      <family val="1"/>
    </font>
    <font>
      <b/>
      <sz val="8"/>
      <name val="Lucida Fax"/>
      <family val="1"/>
    </font>
    <font>
      <sz val="8"/>
      <name val="Lucida Fax"/>
      <family val="1"/>
    </font>
    <font>
      <sz val="10"/>
      <name val="Lucida Fax"/>
      <family val="1"/>
    </font>
    <font>
      <u/>
      <sz val="8"/>
      <name val="Lucida Fax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u/>
      <sz val="10"/>
      <name val="Verdana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/>
    <xf numFmtId="17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" fontId="2" fillId="0" borderId="5" xfId="0" applyNumberFormat="1" applyFont="1" applyBorder="1" applyAlignment="1">
      <alignment horizontal="center"/>
    </xf>
    <xf numFmtId="17" fontId="2" fillId="0" borderId="6" xfId="0" applyNumberFormat="1" applyFont="1" applyBorder="1" applyAlignment="1">
      <alignment horizontal="center"/>
    </xf>
    <xf numFmtId="0" fontId="3" fillId="0" borderId="0" xfId="0" applyFont="1"/>
    <xf numFmtId="2" fontId="0" fillId="0" borderId="0" xfId="0" applyNumberFormat="1"/>
    <xf numFmtId="3" fontId="0" fillId="0" borderId="0" xfId="0" applyNumberFormat="1"/>
    <xf numFmtId="3" fontId="0" fillId="0" borderId="5" xfId="0" applyNumberFormat="1" applyBorder="1"/>
    <xf numFmtId="3" fontId="0" fillId="0" borderId="7" xfId="0" applyNumberFormat="1" applyBorder="1"/>
    <xf numFmtId="3" fontId="0" fillId="0" borderId="0" xfId="0" applyNumberFormat="1" applyBorder="1"/>
    <xf numFmtId="3" fontId="0" fillId="0" borderId="8" xfId="0" applyNumberFormat="1" applyBorder="1"/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17" fontId="2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164" fontId="7" fillId="0" borderId="0" xfId="0" applyNumberFormat="1" applyFont="1" applyProtection="1"/>
    <xf numFmtId="164" fontId="7" fillId="0" borderId="5" xfId="0" applyNumberFormat="1" applyFont="1" applyBorder="1" applyProtection="1"/>
    <xf numFmtId="164" fontId="7" fillId="0" borderId="0" xfId="0" applyNumberFormat="1" applyFont="1" applyAlignment="1" applyProtection="1">
      <alignment horizontal="left"/>
    </xf>
    <xf numFmtId="164" fontId="7" fillId="0" borderId="0" xfId="0" applyNumberFormat="1" applyFont="1"/>
    <xf numFmtId="164" fontId="7" fillId="0" borderId="0" xfId="0" applyNumberFormat="1" applyFont="1" applyAlignment="1" applyProtection="1">
      <alignment horizontal="fill"/>
    </xf>
    <xf numFmtId="164" fontId="7" fillId="0" borderId="5" xfId="0" applyNumberFormat="1" applyFont="1" applyBorder="1"/>
    <xf numFmtId="166" fontId="7" fillId="0" borderId="0" xfId="0" applyNumberFormat="1" applyFont="1" applyAlignment="1" applyProtection="1">
      <alignment horizontal="left"/>
    </xf>
    <xf numFmtId="164" fontId="7" fillId="0" borderId="8" xfId="0" applyNumberFormat="1" applyFont="1" applyBorder="1" applyProtection="1"/>
    <xf numFmtId="164" fontId="7" fillId="0" borderId="0" xfId="0" applyNumberFormat="1" applyFont="1" applyBorder="1" applyProtection="1"/>
    <xf numFmtId="164" fontId="7" fillId="0" borderId="11" xfId="0" applyNumberFormat="1" applyFont="1" applyBorder="1" applyProtection="1"/>
    <xf numFmtId="0" fontId="7" fillId="0" borderId="0" xfId="0" applyFont="1" applyAlignment="1" applyProtection="1">
      <alignment horizontal="center"/>
    </xf>
    <xf numFmtId="164" fontId="7" fillId="0" borderId="0" xfId="0" applyNumberFormat="1" applyFont="1" applyAlignment="1" applyProtection="1">
      <alignment horizontal="center"/>
    </xf>
    <xf numFmtId="0" fontId="8" fillId="0" borderId="0" xfId="0" applyFont="1"/>
    <xf numFmtId="37" fontId="8" fillId="0" borderId="0" xfId="0" applyNumberFormat="1" applyFont="1" applyProtection="1"/>
    <xf numFmtId="0" fontId="9" fillId="0" borderId="0" xfId="0" applyFont="1"/>
    <xf numFmtId="0" fontId="9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fill"/>
    </xf>
    <xf numFmtId="10" fontId="9" fillId="0" borderId="0" xfId="0" applyNumberFormat="1" applyFont="1"/>
    <xf numFmtId="37" fontId="9" fillId="0" borderId="5" xfId="0" applyNumberFormat="1" applyFont="1" applyBorder="1" applyProtection="1"/>
    <xf numFmtId="10" fontId="9" fillId="0" borderId="0" xfId="0" applyNumberFormat="1" applyFont="1" applyBorder="1" applyProtection="1"/>
    <xf numFmtId="181" fontId="9" fillId="0" borderId="5" xfId="1" applyNumberFormat="1" applyFont="1" applyBorder="1"/>
    <xf numFmtId="10" fontId="9" fillId="0" borderId="0" xfId="0" applyNumberFormat="1" applyFont="1" applyBorder="1"/>
    <xf numFmtId="37" fontId="9" fillId="0" borderId="0" xfId="0" applyNumberFormat="1" applyFont="1" applyProtection="1"/>
    <xf numFmtId="10" fontId="9" fillId="0" borderId="0" xfId="0" applyNumberFormat="1" applyFont="1" applyProtection="1"/>
    <xf numFmtId="37" fontId="9" fillId="0" borderId="0" xfId="0" applyNumberFormat="1" applyFont="1"/>
    <xf numFmtId="37" fontId="9" fillId="0" borderId="5" xfId="0" applyNumberFormat="1" applyFont="1" applyBorder="1"/>
    <xf numFmtId="37" fontId="9" fillId="0" borderId="0" xfId="0" applyNumberFormat="1" applyFont="1" applyAlignment="1" applyProtection="1">
      <alignment horizontal="fill"/>
    </xf>
    <xf numFmtId="0" fontId="9" fillId="0" borderId="0" xfId="0" applyFont="1" applyAlignment="1" applyProtection="1">
      <alignment horizontal="fill"/>
    </xf>
    <xf numFmtId="181" fontId="9" fillId="0" borderId="0" xfId="1" applyNumberFormat="1" applyFont="1"/>
    <xf numFmtId="37" fontId="9" fillId="0" borderId="0" xfId="0" applyNumberFormat="1" applyFont="1" applyBorder="1" applyProtection="1"/>
    <xf numFmtId="0" fontId="11" fillId="0" borderId="0" xfId="0" applyFont="1" applyAlignment="1" applyProtection="1">
      <alignment horizontal="left"/>
    </xf>
    <xf numFmtId="49" fontId="9" fillId="0" borderId="12" xfId="0" applyNumberFormat="1" applyFont="1" applyBorder="1" applyAlignment="1" applyProtection="1">
      <alignment horizontal="center"/>
    </xf>
    <xf numFmtId="0" fontId="10" fillId="0" borderId="12" xfId="0" applyFont="1" applyBorder="1"/>
    <xf numFmtId="0" fontId="9" fillId="0" borderId="12" xfId="0" applyFont="1" applyBorder="1" applyAlignment="1" applyProtection="1">
      <alignment horizontal="center"/>
    </xf>
    <xf numFmtId="0" fontId="9" fillId="0" borderId="12" xfId="0" applyFont="1" applyBorder="1"/>
    <xf numFmtId="37" fontId="9" fillId="0" borderId="7" xfId="0" applyNumberFormat="1" applyFont="1" applyBorder="1" applyProtection="1"/>
    <xf numFmtId="37" fontId="9" fillId="0" borderId="8" xfId="0" applyNumberFormat="1" applyFont="1" applyBorder="1" applyProtection="1"/>
    <xf numFmtId="0" fontId="0" fillId="0" borderId="0" xfId="0" applyBorder="1"/>
    <xf numFmtId="0" fontId="0" fillId="0" borderId="5" xfId="0" applyBorder="1"/>
    <xf numFmtId="3" fontId="0" fillId="0" borderId="11" xfId="0" applyNumberFormat="1" applyBorder="1"/>
    <xf numFmtId="183" fontId="0" fillId="0" borderId="0" xfId="1" applyNumberFormat="1" applyFont="1"/>
    <xf numFmtId="1" fontId="7" fillId="0" borderId="0" xfId="0" applyNumberFormat="1" applyFont="1" applyProtection="1"/>
    <xf numFmtId="1" fontId="7" fillId="0" borderId="5" xfId="0" applyNumberFormat="1" applyFont="1" applyBorder="1" applyProtection="1"/>
    <xf numFmtId="3" fontId="12" fillId="0" borderId="0" xfId="0" applyNumberFormat="1" applyFont="1"/>
    <xf numFmtId="3" fontId="12" fillId="0" borderId="5" xfId="0" applyNumberFormat="1" applyFont="1" applyBorder="1"/>
    <xf numFmtId="3" fontId="12" fillId="0" borderId="0" xfId="0" applyNumberFormat="1" applyFont="1" applyBorder="1"/>
    <xf numFmtId="2" fontId="12" fillId="0" borderId="0" xfId="0" applyNumberFormat="1" applyFont="1"/>
    <xf numFmtId="0" fontId="12" fillId="0" borderId="0" xfId="0" applyFont="1"/>
    <xf numFmtId="10" fontId="12" fillId="0" borderId="0" xfId="2" applyNumberFormat="1" applyFont="1"/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6" fillId="0" borderId="14" xfId="0" applyFont="1" applyBorder="1"/>
    <xf numFmtId="0" fontId="16" fillId="0" borderId="15" xfId="0" applyFont="1" applyBorder="1"/>
    <xf numFmtId="0" fontId="16" fillId="0" borderId="0" xfId="0" applyFont="1"/>
    <xf numFmtId="0" fontId="16" fillId="0" borderId="17" xfId="0" applyFont="1" applyBorder="1"/>
    <xf numFmtId="0" fontId="16" fillId="0" borderId="18" xfId="0" applyFont="1" applyBorder="1"/>
    <xf numFmtId="0" fontId="16" fillId="0" borderId="16" xfId="0" applyFont="1" applyBorder="1"/>
    <xf numFmtId="0" fontId="16" fillId="0" borderId="17" xfId="0" applyFont="1" applyBorder="1" applyAlignment="1" applyProtection="1">
      <alignment horizontal="center"/>
    </xf>
    <xf numFmtId="0" fontId="16" fillId="0" borderId="16" xfId="0" applyFont="1" applyBorder="1" applyAlignment="1" applyProtection="1">
      <alignment horizontal="left"/>
    </xf>
    <xf numFmtId="0" fontId="16" fillId="0" borderId="17" xfId="0" applyFont="1" applyBorder="1" applyAlignment="1" applyProtection="1">
      <alignment horizontal="left"/>
    </xf>
    <xf numFmtId="0" fontId="15" fillId="0" borderId="16" xfId="0" applyFont="1" applyBorder="1"/>
    <xf numFmtId="0" fontId="15" fillId="0" borderId="17" xfId="0" applyFont="1" applyBorder="1"/>
    <xf numFmtId="37" fontId="16" fillId="0" borderId="17" xfId="0" applyNumberFormat="1" applyFont="1" applyBorder="1" applyProtection="1"/>
    <xf numFmtId="0" fontId="16" fillId="0" borderId="16" xfId="0" applyFont="1" applyBorder="1" applyProtection="1"/>
    <xf numFmtId="37" fontId="16" fillId="0" borderId="17" xfId="0" applyNumberFormat="1" applyFont="1" applyBorder="1"/>
    <xf numFmtId="0" fontId="16" fillId="0" borderId="17" xfId="0" applyFont="1" applyBorder="1" applyProtection="1"/>
    <xf numFmtId="0" fontId="15" fillId="0" borderId="17" xfId="0" applyFont="1" applyBorder="1" applyAlignment="1" applyProtection="1">
      <alignment horizontal="left"/>
    </xf>
    <xf numFmtId="37" fontId="15" fillId="0" borderId="17" xfId="0" applyNumberFormat="1" applyFont="1" applyBorder="1" applyProtection="1"/>
    <xf numFmtId="39" fontId="16" fillId="0" borderId="17" xfId="0" applyNumberFormat="1" applyFont="1" applyBorder="1"/>
    <xf numFmtId="181" fontId="16" fillId="0" borderId="17" xfId="1" applyNumberFormat="1" applyFont="1" applyBorder="1" applyProtection="1"/>
    <xf numFmtId="181" fontId="16" fillId="0" borderId="17" xfId="1" applyNumberFormat="1" applyFont="1" applyBorder="1"/>
    <xf numFmtId="0" fontId="15" fillId="0" borderId="17" xfId="0" applyFont="1" applyBorder="1" applyProtection="1"/>
    <xf numFmtId="37" fontId="16" fillId="0" borderId="17" xfId="0" applyNumberFormat="1" applyFont="1" applyBorder="1" applyAlignment="1" applyProtection="1">
      <alignment horizontal="fill"/>
    </xf>
    <xf numFmtId="0" fontId="17" fillId="0" borderId="17" xfId="0" applyFont="1" applyBorder="1" applyAlignment="1" applyProtection="1">
      <alignment horizontal="left"/>
    </xf>
    <xf numFmtId="0" fontId="17" fillId="0" borderId="17" xfId="0" applyFont="1" applyBorder="1"/>
    <xf numFmtId="186" fontId="16" fillId="0" borderId="17" xfId="0" applyNumberFormat="1" applyFont="1" applyBorder="1" applyProtection="1"/>
    <xf numFmtId="181" fontId="16" fillId="0" borderId="17" xfId="0" applyNumberFormat="1" applyFont="1" applyBorder="1"/>
    <xf numFmtId="37" fontId="16" fillId="0" borderId="17" xfId="0" applyNumberFormat="1" applyFont="1" applyBorder="1" applyAlignment="1" applyProtection="1">
      <alignment horizontal="left"/>
    </xf>
    <xf numFmtId="187" fontId="16" fillId="0" borderId="17" xfId="0" applyNumberFormat="1" applyFont="1" applyBorder="1" applyProtection="1"/>
    <xf numFmtId="187" fontId="16" fillId="0" borderId="17" xfId="0" applyNumberFormat="1" applyFont="1" applyBorder="1"/>
    <xf numFmtId="0" fontId="0" fillId="0" borderId="17" xfId="0" applyBorder="1"/>
    <xf numFmtId="0" fontId="16" fillId="0" borderId="17" xfId="0" applyFont="1" applyBorder="1" applyAlignment="1" applyProtection="1">
      <alignment horizontal="fill"/>
    </xf>
    <xf numFmtId="9" fontId="16" fillId="0" borderId="17" xfId="0" applyNumberFormat="1" applyFont="1" applyBorder="1" applyProtection="1"/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0" fontId="6" fillId="0" borderId="0" xfId="0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</xf>
    <xf numFmtId="166" fontId="7" fillId="0" borderId="0" xfId="0" applyNumberFormat="1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13" xfId="0" applyFont="1" applyBorder="1" applyAlignment="1" applyProtection="1">
      <alignment horizontal="center"/>
    </xf>
    <xf numFmtId="0" fontId="15" fillId="0" borderId="14" xfId="0" applyFont="1" applyBorder="1" applyAlignment="1" applyProtection="1">
      <alignment horizontal="center"/>
    </xf>
    <xf numFmtId="0" fontId="15" fillId="0" borderId="16" xfId="0" applyFont="1" applyBorder="1" applyAlignment="1" applyProtection="1">
      <alignment horizontal="center"/>
    </xf>
    <xf numFmtId="0" fontId="15" fillId="0" borderId="17" xfId="0" applyFont="1" applyBorder="1" applyAlignment="1" applyProtection="1">
      <alignment horizontal="center"/>
    </xf>
    <xf numFmtId="0" fontId="16" fillId="0" borderId="16" xfId="0" applyFont="1" applyBorder="1" applyAlignment="1" applyProtection="1">
      <alignment horizontal="center"/>
    </xf>
    <xf numFmtId="0" fontId="16" fillId="0" borderId="17" xfId="0" applyFont="1" applyBorder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1"/>
  <sheetViews>
    <sheetView view="pageBreakPreview" topLeftCell="A205" zoomScale="60" zoomScaleNormal="75" workbookViewId="0">
      <selection activeCell="A229" sqref="A229"/>
    </sheetView>
  </sheetViews>
  <sheetFormatPr baseColWidth="10" defaultColWidth="11.44140625" defaultRowHeight="13.2"/>
  <cols>
    <col min="1" max="1" width="38.109375" customWidth="1"/>
    <col min="2" max="2" width="11.44140625" customWidth="1"/>
    <col min="3" max="3" width="17.33203125" customWidth="1"/>
    <col min="4" max="4" width="20.33203125" customWidth="1"/>
    <col min="5" max="5" width="18" customWidth="1"/>
  </cols>
  <sheetData>
    <row r="1" spans="1:5" ht="13.8">
      <c r="A1" s="126" t="s">
        <v>226</v>
      </c>
      <c r="B1" s="126"/>
      <c r="C1" s="126"/>
      <c r="D1" s="126"/>
      <c r="E1" s="126"/>
    </row>
    <row r="2" spans="1:5" ht="13.8">
      <c r="A2" s="126" t="s">
        <v>227</v>
      </c>
      <c r="B2" s="126"/>
      <c r="C2" s="126"/>
      <c r="D2" s="126"/>
      <c r="E2" s="126"/>
    </row>
    <row r="3" spans="1:5" ht="13.8">
      <c r="A3" s="32" t="s">
        <v>228</v>
      </c>
      <c r="B3" s="31"/>
      <c r="C3" s="31"/>
      <c r="D3" s="31"/>
      <c r="E3" s="32" t="s">
        <v>228</v>
      </c>
    </row>
    <row r="4" spans="1:5" ht="13.8">
      <c r="A4" s="125" t="s">
        <v>350</v>
      </c>
      <c r="B4" s="125"/>
      <c r="C4" s="125"/>
      <c r="D4" s="125"/>
      <c r="E4" s="125"/>
    </row>
    <row r="5" spans="1:5" ht="13.8">
      <c r="A5" s="33"/>
      <c r="B5" s="33"/>
      <c r="C5" s="33"/>
      <c r="D5" s="33"/>
      <c r="E5" s="33"/>
    </row>
    <row r="6" spans="1:5" ht="13.8">
      <c r="A6" s="33"/>
      <c r="B6" s="33"/>
      <c r="C6" s="33"/>
      <c r="D6" s="33"/>
      <c r="E6" s="33"/>
    </row>
    <row r="7" spans="1:5" ht="13.8">
      <c r="A7" s="32"/>
      <c r="B7" s="31"/>
      <c r="C7" s="31"/>
      <c r="D7" s="31"/>
      <c r="E7" s="32"/>
    </row>
    <row r="8" spans="1:5" ht="13.8">
      <c r="A8" s="31"/>
      <c r="B8" s="31"/>
      <c r="C8" s="31"/>
      <c r="D8" s="31"/>
      <c r="E8" s="31"/>
    </row>
    <row r="9" spans="1:5" ht="13.8">
      <c r="A9" s="127" t="s">
        <v>229</v>
      </c>
      <c r="B9" s="127"/>
      <c r="C9" s="127"/>
      <c r="D9" s="127"/>
      <c r="E9" s="127"/>
    </row>
    <row r="10" spans="1:5" ht="13.8">
      <c r="A10" s="31"/>
      <c r="B10" s="31"/>
      <c r="C10" s="31"/>
      <c r="D10" s="31"/>
      <c r="E10" s="31"/>
    </row>
    <row r="11" spans="1:5" ht="13.8">
      <c r="A11" s="128" t="s">
        <v>1</v>
      </c>
      <c r="B11" s="128"/>
      <c r="C11" s="128"/>
      <c r="D11" s="128"/>
      <c r="E11" s="128"/>
    </row>
    <row r="12" spans="1:5" ht="13.8">
      <c r="A12" s="31"/>
      <c r="B12" s="31"/>
      <c r="C12" s="31"/>
      <c r="D12" s="31"/>
      <c r="E12" s="32" t="s">
        <v>228</v>
      </c>
    </row>
    <row r="13" spans="1:5" ht="13.8">
      <c r="A13" s="32" t="s">
        <v>2</v>
      </c>
      <c r="B13" s="31"/>
      <c r="C13" s="31"/>
      <c r="D13" s="31"/>
      <c r="E13" s="31"/>
    </row>
    <row r="14" spans="1:5" ht="13.8">
      <c r="A14" s="32" t="s">
        <v>230</v>
      </c>
      <c r="B14" s="31"/>
      <c r="C14" s="34">
        <v>1569000</v>
      </c>
      <c r="D14" s="34"/>
      <c r="E14" s="34"/>
    </row>
    <row r="15" spans="1:5" ht="13.8">
      <c r="A15" s="32" t="s">
        <v>231</v>
      </c>
      <c r="B15" s="31"/>
      <c r="C15" s="34">
        <v>993715823.66999996</v>
      </c>
      <c r="D15" s="34"/>
      <c r="E15" s="34"/>
    </row>
    <row r="16" spans="1:5" ht="13.8">
      <c r="A16" s="32" t="s">
        <v>232</v>
      </c>
      <c r="B16" s="31"/>
      <c r="C16" s="35">
        <v>664329282.5</v>
      </c>
      <c r="D16" s="34"/>
      <c r="E16" s="34"/>
    </row>
    <row r="17" spans="1:5" ht="13.8">
      <c r="A17" s="31"/>
      <c r="B17" s="31"/>
      <c r="C17" s="36" t="s">
        <v>228</v>
      </c>
      <c r="D17" s="34">
        <f>SUM(C14:C16)</f>
        <v>1659614106.1700001</v>
      </c>
      <c r="E17" s="37"/>
    </row>
    <row r="18" spans="1:5" ht="13.8">
      <c r="A18" s="32" t="s">
        <v>233</v>
      </c>
      <c r="B18" s="31"/>
      <c r="C18" s="34"/>
      <c r="D18" s="34"/>
      <c r="E18" s="34"/>
    </row>
    <row r="19" spans="1:5" ht="13.8">
      <c r="A19" s="32" t="s">
        <v>234</v>
      </c>
      <c r="B19" s="31"/>
      <c r="C19" s="34">
        <v>3600919098.75</v>
      </c>
      <c r="D19" s="37"/>
      <c r="E19" s="37"/>
    </row>
    <row r="20" spans="1:5" ht="13.8">
      <c r="A20" s="32" t="s">
        <v>235</v>
      </c>
      <c r="B20" s="31"/>
      <c r="C20" s="35">
        <v>3430013.92</v>
      </c>
      <c r="D20" s="37"/>
      <c r="E20" s="37"/>
    </row>
    <row r="21" spans="1:5" ht="13.8">
      <c r="A21" s="31"/>
      <c r="B21" s="31"/>
      <c r="C21" s="38" t="s">
        <v>228</v>
      </c>
      <c r="D21" s="34">
        <f>SUM(C19:C20)</f>
        <v>3604349112.6700001</v>
      </c>
      <c r="E21" s="37"/>
    </row>
    <row r="22" spans="1:5" ht="13.8">
      <c r="A22" s="32" t="s">
        <v>12</v>
      </c>
      <c r="B22" s="31"/>
      <c r="C22" s="34"/>
      <c r="D22" s="34"/>
      <c r="E22" s="34"/>
    </row>
    <row r="23" spans="1:5" ht="13.8">
      <c r="A23" s="32" t="s">
        <v>236</v>
      </c>
      <c r="B23" s="31"/>
      <c r="C23" s="37">
        <v>1745380121</v>
      </c>
      <c r="D23" s="34"/>
      <c r="E23" s="34"/>
    </row>
    <row r="24" spans="1:5" ht="13.8">
      <c r="A24" s="32" t="s">
        <v>237</v>
      </c>
      <c r="B24" s="31"/>
      <c r="C24" s="37">
        <v>570000</v>
      </c>
      <c r="D24" s="34"/>
      <c r="E24" s="34"/>
    </row>
    <row r="25" spans="1:5" ht="13.8">
      <c r="A25" s="32" t="s">
        <v>238</v>
      </c>
      <c r="B25" s="31"/>
      <c r="C25" s="37">
        <v>6161090</v>
      </c>
      <c r="D25" s="34"/>
      <c r="E25" s="34"/>
    </row>
    <row r="26" spans="1:5" ht="13.8">
      <c r="A26" s="32" t="s">
        <v>239</v>
      </c>
      <c r="B26" s="31"/>
      <c r="C26" s="37">
        <v>229865758</v>
      </c>
      <c r="D26" s="34"/>
      <c r="E26" s="34"/>
    </row>
    <row r="27" spans="1:5" ht="13.8">
      <c r="A27" s="32" t="s">
        <v>240</v>
      </c>
      <c r="B27" s="31"/>
      <c r="C27" s="37">
        <v>298096201.00999999</v>
      </c>
      <c r="D27" s="34"/>
      <c r="E27" s="34"/>
    </row>
    <row r="28" spans="1:5" ht="13.8">
      <c r="A28" s="32" t="s">
        <v>241</v>
      </c>
      <c r="B28" s="31"/>
      <c r="C28" s="37">
        <v>46457586</v>
      </c>
      <c r="D28" s="34"/>
      <c r="E28" s="34"/>
    </row>
    <row r="29" spans="1:5" ht="13.8">
      <c r="A29" s="32" t="s">
        <v>242</v>
      </c>
      <c r="B29" s="31"/>
      <c r="C29" s="37">
        <v>127640236</v>
      </c>
      <c r="D29" s="34"/>
      <c r="E29" s="34"/>
    </row>
    <row r="30" spans="1:5" ht="13.8">
      <c r="A30" s="32" t="s">
        <v>243</v>
      </c>
      <c r="B30" s="31"/>
      <c r="C30" s="39">
        <v>0</v>
      </c>
      <c r="D30" s="34"/>
      <c r="E30" s="34"/>
    </row>
    <row r="31" spans="1:5" ht="13.8">
      <c r="A31" s="31"/>
      <c r="B31" s="31"/>
      <c r="C31" s="36" t="s">
        <v>228</v>
      </c>
      <c r="D31" s="34">
        <f>SUM(C23:C30)</f>
        <v>2454170992.0100002</v>
      </c>
      <c r="E31" s="37"/>
    </row>
    <row r="32" spans="1:5" ht="13.8">
      <c r="A32" s="32" t="s">
        <v>33</v>
      </c>
      <c r="B32" s="31"/>
      <c r="C32" s="34"/>
      <c r="D32" s="34"/>
      <c r="E32" s="34"/>
    </row>
    <row r="33" spans="1:5" ht="13.8">
      <c r="A33" s="32" t="s">
        <v>244</v>
      </c>
      <c r="B33" s="31"/>
      <c r="C33" s="34">
        <v>0</v>
      </c>
      <c r="D33" s="34"/>
      <c r="E33" s="37"/>
    </row>
    <row r="34" spans="1:5" ht="13.8">
      <c r="A34" s="32" t="s">
        <v>245</v>
      </c>
      <c r="B34" s="31"/>
      <c r="C34" s="35">
        <v>236500</v>
      </c>
      <c r="D34" s="34"/>
      <c r="E34" s="37"/>
    </row>
    <row r="35" spans="1:5" ht="13.8">
      <c r="A35" s="31"/>
      <c r="B35" s="31"/>
      <c r="C35" s="38" t="s">
        <v>228</v>
      </c>
      <c r="D35" s="34">
        <f>SUM(C33:C34)</f>
        <v>236500</v>
      </c>
      <c r="E35" s="37"/>
    </row>
    <row r="36" spans="1:5" ht="13.8">
      <c r="A36" s="32" t="s">
        <v>23</v>
      </c>
      <c r="B36" s="31"/>
      <c r="C36" s="34"/>
      <c r="D36" s="34"/>
      <c r="E36" s="36" t="s">
        <v>228</v>
      </c>
    </row>
    <row r="37" spans="1:5" ht="13.8">
      <c r="A37" s="32" t="s">
        <v>246</v>
      </c>
      <c r="B37" s="31"/>
      <c r="C37" s="34">
        <v>351424195.93000001</v>
      </c>
      <c r="D37" s="37"/>
      <c r="E37" s="34"/>
    </row>
    <row r="38" spans="1:5" ht="13.8">
      <c r="A38" s="32" t="s">
        <v>247</v>
      </c>
      <c r="B38" s="31"/>
      <c r="C38" s="34">
        <v>294562301.13999999</v>
      </c>
      <c r="D38" s="37"/>
      <c r="E38" s="37"/>
    </row>
    <row r="39" spans="1:5" ht="13.8">
      <c r="A39" s="32" t="s">
        <v>248</v>
      </c>
      <c r="B39" s="31"/>
      <c r="C39" s="34">
        <v>481105364.94</v>
      </c>
      <c r="D39" s="37"/>
      <c r="E39" s="34"/>
    </row>
    <row r="40" spans="1:5" ht="13.8">
      <c r="A40" s="32" t="s">
        <v>249</v>
      </c>
      <c r="B40" s="31"/>
      <c r="C40" s="34">
        <v>18308016.870000001</v>
      </c>
      <c r="D40" s="37"/>
      <c r="E40" s="34"/>
    </row>
    <row r="41" spans="1:5" ht="13.8">
      <c r="A41" s="32" t="s">
        <v>250</v>
      </c>
      <c r="B41" s="31"/>
      <c r="C41" s="34">
        <v>28817292.530000001</v>
      </c>
      <c r="D41" s="37"/>
      <c r="E41" s="34"/>
    </row>
    <row r="42" spans="1:5" ht="13.8">
      <c r="A42" s="32" t="s">
        <v>251</v>
      </c>
      <c r="B42" s="31"/>
      <c r="C42" s="35">
        <v>34365826</v>
      </c>
      <c r="D42" s="37"/>
      <c r="E42" s="34"/>
    </row>
    <row r="43" spans="1:5" ht="13.8">
      <c r="A43" s="31"/>
      <c r="B43" s="31"/>
      <c r="C43" s="36" t="s">
        <v>228</v>
      </c>
      <c r="D43" s="35">
        <f>SUM(C37:C42)</f>
        <v>1208582997.4099998</v>
      </c>
      <c r="E43" s="37"/>
    </row>
    <row r="44" spans="1:5" ht="13.8">
      <c r="A44" s="32" t="s">
        <v>35</v>
      </c>
      <c r="B44" s="31"/>
      <c r="C44" s="34"/>
      <c r="D44" s="34" t="s">
        <v>228</v>
      </c>
      <c r="E44" s="34">
        <f>SUM(D14:D43)</f>
        <v>8926953708.2600002</v>
      </c>
    </row>
    <row r="45" spans="1:5" ht="13.8">
      <c r="A45" s="32"/>
      <c r="B45" s="31"/>
      <c r="C45" s="34"/>
      <c r="D45" s="34"/>
      <c r="E45" s="34"/>
    </row>
    <row r="46" spans="1:5" ht="13.8">
      <c r="A46" s="32" t="s">
        <v>36</v>
      </c>
      <c r="B46" s="31"/>
      <c r="C46" s="34"/>
      <c r="D46" s="34"/>
      <c r="E46" s="34"/>
    </row>
    <row r="47" spans="1:5" ht="13.8">
      <c r="A47" s="32" t="s">
        <v>252</v>
      </c>
      <c r="B47" s="31"/>
      <c r="C47" s="34">
        <v>12000000</v>
      </c>
      <c r="D47" s="34"/>
      <c r="E47" s="34"/>
    </row>
    <row r="48" spans="1:5" ht="13.8">
      <c r="A48" s="32" t="s">
        <v>253</v>
      </c>
      <c r="B48" s="31"/>
      <c r="C48" s="35">
        <v>40719935</v>
      </c>
      <c r="D48" s="34"/>
      <c r="E48" s="34"/>
    </row>
    <row r="49" spans="1:5" ht="13.8">
      <c r="A49" s="31"/>
      <c r="B49" s="31"/>
      <c r="C49" s="36" t="s">
        <v>228</v>
      </c>
      <c r="D49" s="34">
        <f>SUM(C47:C48)</f>
        <v>52719935</v>
      </c>
      <c r="E49" s="34"/>
    </row>
    <row r="50" spans="1:5" ht="13.8">
      <c r="A50" s="32" t="s">
        <v>254</v>
      </c>
      <c r="B50" s="31"/>
      <c r="C50" s="37"/>
      <c r="D50" s="34">
        <v>21727750</v>
      </c>
      <c r="E50" s="34"/>
    </row>
    <row r="51" spans="1:5" ht="13.8">
      <c r="A51" s="32" t="s">
        <v>255</v>
      </c>
      <c r="B51" s="31"/>
      <c r="C51" s="37"/>
      <c r="D51" s="35">
        <v>33880000</v>
      </c>
      <c r="E51" s="34"/>
    </row>
    <row r="52" spans="1:5" ht="13.8">
      <c r="A52" s="31"/>
      <c r="B52" s="31"/>
      <c r="C52" s="37"/>
      <c r="D52" s="38" t="s">
        <v>228</v>
      </c>
      <c r="E52" s="34">
        <f>SUM(D49:D51)</f>
        <v>108327685</v>
      </c>
    </row>
    <row r="53" spans="1:5" ht="13.8">
      <c r="A53" s="31"/>
      <c r="B53" s="31"/>
      <c r="C53" s="37"/>
      <c r="D53" s="38"/>
      <c r="E53" s="34"/>
    </row>
    <row r="54" spans="1:5" ht="13.8">
      <c r="A54" s="31"/>
      <c r="B54" s="31"/>
      <c r="C54" s="34"/>
      <c r="D54" s="34"/>
      <c r="E54" s="34"/>
    </row>
    <row r="55" spans="1:5" ht="13.8">
      <c r="A55" s="129" t="s">
        <v>40</v>
      </c>
      <c r="B55" s="129"/>
      <c r="C55" s="129"/>
      <c r="D55" s="129"/>
      <c r="E55" s="129"/>
    </row>
    <row r="56" spans="1:5" ht="13.8">
      <c r="A56" s="31"/>
      <c r="B56" s="31"/>
      <c r="C56" s="37"/>
      <c r="D56" s="37"/>
      <c r="E56" s="37"/>
    </row>
    <row r="57" spans="1:5" ht="13.8">
      <c r="A57" s="32" t="s">
        <v>41</v>
      </c>
      <c r="B57" s="31"/>
      <c r="C57" s="34"/>
      <c r="D57" s="34"/>
      <c r="E57" s="34"/>
    </row>
    <row r="58" spans="1:5" ht="13.8">
      <c r="A58" s="32" t="s">
        <v>256</v>
      </c>
      <c r="B58" s="31"/>
      <c r="C58" s="34">
        <v>127077984.63</v>
      </c>
      <c r="D58" s="34"/>
      <c r="E58" s="34"/>
    </row>
    <row r="59" spans="1:5" ht="13.8">
      <c r="A59" s="32" t="s">
        <v>253</v>
      </c>
      <c r="B59" s="31"/>
      <c r="C59" s="35">
        <v>186811524.63999999</v>
      </c>
      <c r="D59" s="34"/>
      <c r="E59" s="34"/>
    </row>
    <row r="60" spans="1:5" ht="13.8">
      <c r="A60" s="31"/>
      <c r="B60" s="31"/>
      <c r="C60" s="36" t="s">
        <v>228</v>
      </c>
      <c r="D60" s="34">
        <f>SUM(C58:C59)</f>
        <v>313889509.26999998</v>
      </c>
      <c r="E60" s="34"/>
    </row>
    <row r="61" spans="1:5" ht="13.8">
      <c r="A61" s="32" t="s">
        <v>44</v>
      </c>
      <c r="B61" s="31"/>
      <c r="C61" s="34"/>
      <c r="D61" s="34"/>
      <c r="E61" s="34"/>
    </row>
    <row r="62" spans="1:5" ht="13.8">
      <c r="A62" s="32" t="s">
        <v>257</v>
      </c>
      <c r="B62" s="31"/>
      <c r="C62" s="34">
        <v>1114586567.48</v>
      </c>
      <c r="D62" s="34"/>
      <c r="E62" s="34"/>
    </row>
    <row r="63" spans="1:5" ht="13.8">
      <c r="A63" s="32" t="s">
        <v>258</v>
      </c>
      <c r="B63" s="31"/>
      <c r="C63" s="34">
        <v>528264679.24000001</v>
      </c>
      <c r="D63" s="34"/>
      <c r="E63" s="34"/>
    </row>
    <row r="64" spans="1:5" ht="13.8">
      <c r="A64" s="32" t="s">
        <v>259</v>
      </c>
      <c r="B64" s="31"/>
      <c r="C64" s="34">
        <v>48880525.329999998</v>
      </c>
      <c r="D64" s="34"/>
      <c r="E64" s="34"/>
    </row>
    <row r="65" spans="1:5" ht="13.8">
      <c r="A65" s="32" t="s">
        <v>260</v>
      </c>
      <c r="B65" s="31"/>
      <c r="C65" s="34">
        <v>121164977</v>
      </c>
      <c r="D65" s="34"/>
      <c r="E65" s="34"/>
    </row>
    <row r="66" spans="1:5" ht="13.8">
      <c r="A66" s="32" t="s">
        <v>261</v>
      </c>
      <c r="B66" s="31"/>
      <c r="C66" s="34">
        <v>105472849</v>
      </c>
      <c r="D66" s="34"/>
      <c r="E66" s="34"/>
    </row>
    <row r="67" spans="1:5" ht="13.8">
      <c r="A67" s="32" t="s">
        <v>253</v>
      </c>
      <c r="B67" s="31"/>
      <c r="C67" s="35">
        <v>3477398619.96</v>
      </c>
      <c r="D67" s="37"/>
      <c r="E67" s="37"/>
    </row>
    <row r="68" spans="1:5" ht="13.8">
      <c r="A68" s="31"/>
      <c r="B68" s="31"/>
      <c r="C68" s="36" t="s">
        <v>228</v>
      </c>
      <c r="D68" s="34">
        <f>SUM(C62:C67)</f>
        <v>5395768218.0100002</v>
      </c>
      <c r="E68" s="34"/>
    </row>
    <row r="69" spans="1:5" ht="13.8">
      <c r="A69" s="31"/>
      <c r="B69" s="31"/>
      <c r="C69" s="34"/>
      <c r="D69" s="34"/>
      <c r="E69" s="36" t="s">
        <v>228</v>
      </c>
    </row>
    <row r="70" spans="1:5" ht="13.8">
      <c r="A70" s="32" t="s">
        <v>262</v>
      </c>
      <c r="B70" s="31"/>
      <c r="C70" s="34"/>
      <c r="D70" s="34">
        <v>-1674695009.79</v>
      </c>
      <c r="E70" s="34"/>
    </row>
    <row r="71" spans="1:5" ht="13.8">
      <c r="A71" s="32" t="s">
        <v>253</v>
      </c>
      <c r="B71" s="31"/>
      <c r="C71" s="42"/>
      <c r="D71" s="35">
        <v>-990615028.44000006</v>
      </c>
      <c r="E71" s="36" t="s">
        <v>228</v>
      </c>
    </row>
    <row r="72" spans="1:5" ht="13.8">
      <c r="A72" s="31"/>
      <c r="B72" s="31"/>
      <c r="C72" s="34"/>
      <c r="D72" s="36" t="s">
        <v>228</v>
      </c>
      <c r="E72" s="37"/>
    </row>
    <row r="73" spans="1:5" ht="13.8">
      <c r="A73" s="32" t="s">
        <v>52</v>
      </c>
      <c r="B73" s="31"/>
      <c r="C73" s="34"/>
      <c r="D73" s="34"/>
      <c r="E73" s="34">
        <f>SUM(D58:D71)</f>
        <v>3044347689.0500007</v>
      </c>
    </row>
    <row r="74" spans="1:5" ht="13.8">
      <c r="A74" s="31"/>
      <c r="B74" s="31"/>
      <c r="C74" s="37"/>
      <c r="D74" s="34"/>
      <c r="E74" s="37" t="s">
        <v>228</v>
      </c>
    </row>
    <row r="75" spans="1:5" ht="13.8">
      <c r="A75" s="129" t="s">
        <v>53</v>
      </c>
      <c r="B75" s="129"/>
      <c r="C75" s="129"/>
      <c r="D75" s="129"/>
      <c r="E75" s="129"/>
    </row>
    <row r="76" spans="1:5" ht="13.8">
      <c r="A76" s="31"/>
      <c r="B76" s="31"/>
      <c r="C76" s="37"/>
      <c r="D76" s="37"/>
      <c r="E76" s="37"/>
    </row>
    <row r="77" spans="1:5" ht="13.8">
      <c r="A77" s="32" t="s">
        <v>263</v>
      </c>
      <c r="B77" s="31"/>
      <c r="C77" s="34"/>
      <c r="D77" s="34">
        <v>132629897</v>
      </c>
      <c r="E77" s="37"/>
    </row>
    <row r="78" spans="1:5" ht="13.8">
      <c r="A78" s="32" t="s">
        <v>264</v>
      </c>
      <c r="B78" s="31"/>
      <c r="C78" s="34"/>
      <c r="D78" s="34"/>
      <c r="E78" s="37"/>
    </row>
    <row r="79" spans="1:5" ht="13.8">
      <c r="A79" s="32" t="s">
        <v>265</v>
      </c>
      <c r="B79" s="31"/>
      <c r="C79" s="34">
        <v>12961900</v>
      </c>
      <c r="D79" s="37"/>
      <c r="E79" s="37"/>
    </row>
    <row r="80" spans="1:5" ht="13.8">
      <c r="A80" s="32" t="s">
        <v>266</v>
      </c>
      <c r="B80" s="31"/>
      <c r="C80" s="35">
        <v>4576400795</v>
      </c>
      <c r="D80" s="34"/>
      <c r="E80" s="37"/>
    </row>
    <row r="81" spans="1:5" ht="13.8">
      <c r="A81" s="31"/>
      <c r="B81" s="31"/>
      <c r="C81" s="36" t="s">
        <v>228</v>
      </c>
      <c r="D81" s="35">
        <f>SUM(C79:C80)</f>
        <v>4589362695</v>
      </c>
      <c r="E81" s="34"/>
    </row>
    <row r="82" spans="1:5" ht="13.8">
      <c r="A82" s="32" t="s">
        <v>59</v>
      </c>
      <c r="B82" s="31"/>
      <c r="C82" s="37"/>
      <c r="D82" s="37"/>
      <c r="E82" s="34">
        <f>SUM(D77:D81)</f>
        <v>4721992592</v>
      </c>
    </row>
    <row r="83" spans="1:5" ht="14.4" thickBot="1">
      <c r="A83" s="32" t="s">
        <v>267</v>
      </c>
      <c r="B83" s="31"/>
      <c r="C83" s="37"/>
      <c r="D83" s="37"/>
      <c r="E83" s="41">
        <f>SUM(E44:E82)</f>
        <v>16801621674.310001</v>
      </c>
    </row>
    <row r="84" spans="1:5" ht="14.4" thickTop="1">
      <c r="A84" s="32"/>
      <c r="B84" s="31"/>
      <c r="C84" s="37"/>
      <c r="D84" s="37"/>
      <c r="E84" s="42"/>
    </row>
    <row r="85" spans="1:5" ht="13.8">
      <c r="A85" s="32" t="s">
        <v>268</v>
      </c>
      <c r="B85" s="31"/>
      <c r="C85" s="34"/>
      <c r="D85" s="37"/>
      <c r="E85" s="34"/>
    </row>
    <row r="86" spans="1:5" ht="13.8">
      <c r="A86" s="32" t="s">
        <v>269</v>
      </c>
      <c r="B86" s="31"/>
      <c r="C86" s="37"/>
      <c r="D86" s="34">
        <v>696833449</v>
      </c>
      <c r="E86" s="37"/>
    </row>
    <row r="87" spans="1:5" ht="13.8">
      <c r="A87" s="32" t="s">
        <v>270</v>
      </c>
      <c r="B87" s="31"/>
      <c r="C87" s="37"/>
      <c r="D87" s="34">
        <v>392543501</v>
      </c>
      <c r="E87" s="37"/>
    </row>
    <row r="88" spans="1:5" ht="13.8">
      <c r="A88" s="32" t="s">
        <v>271</v>
      </c>
      <c r="B88" s="31"/>
      <c r="C88" s="37"/>
      <c r="D88" s="34">
        <v>9391788</v>
      </c>
      <c r="E88" s="37"/>
    </row>
    <row r="89" spans="1:5" ht="13.8">
      <c r="A89" s="32" t="s">
        <v>272</v>
      </c>
      <c r="B89" s="31"/>
      <c r="C89" s="37"/>
      <c r="D89" s="35">
        <v>1883250</v>
      </c>
      <c r="E89" s="37"/>
    </row>
    <row r="90" spans="1:5" ht="13.8">
      <c r="A90" s="32"/>
      <c r="B90" s="31"/>
      <c r="C90" s="37"/>
      <c r="D90" s="42"/>
      <c r="E90" s="37"/>
    </row>
    <row r="91" spans="1:5" ht="14.4" thickBot="1">
      <c r="A91" s="32" t="s">
        <v>273</v>
      </c>
      <c r="B91" s="31"/>
      <c r="C91" s="34"/>
      <c r="D91" s="34"/>
      <c r="E91" s="43">
        <f>D86+D87+D88+D89</f>
        <v>1100651988</v>
      </c>
    </row>
    <row r="92" spans="1:5" ht="14.4" thickTop="1">
      <c r="A92" s="31"/>
      <c r="B92" s="31"/>
      <c r="C92" s="37"/>
      <c r="D92" s="37"/>
      <c r="E92" s="38" t="s">
        <v>228</v>
      </c>
    </row>
    <row r="93" spans="1:5" ht="13.8">
      <c r="A93" s="31"/>
      <c r="B93" s="31"/>
      <c r="C93" s="37"/>
      <c r="D93" s="37"/>
      <c r="E93" s="38"/>
    </row>
    <row r="94" spans="1:5" ht="13.8">
      <c r="A94" s="31"/>
      <c r="B94" s="31"/>
      <c r="C94" s="37"/>
      <c r="D94" s="37" t="s">
        <v>228</v>
      </c>
      <c r="E94" s="37"/>
    </row>
    <row r="95" spans="1:5" ht="13.8">
      <c r="A95" s="129" t="s">
        <v>274</v>
      </c>
      <c r="B95" s="129"/>
      <c r="C95" s="129"/>
      <c r="D95" s="129"/>
      <c r="E95" s="129"/>
    </row>
    <row r="96" spans="1:5" ht="13.8">
      <c r="A96" s="31"/>
      <c r="B96" s="31"/>
      <c r="C96" s="37"/>
      <c r="D96" s="37"/>
      <c r="E96" s="37"/>
    </row>
    <row r="97" spans="1:5" ht="13.8">
      <c r="A97" s="129" t="s">
        <v>64</v>
      </c>
      <c r="B97" s="129"/>
      <c r="C97" s="129"/>
      <c r="D97" s="129"/>
      <c r="E97" s="129"/>
    </row>
    <row r="98" spans="1:5" ht="13.8">
      <c r="A98" s="31"/>
      <c r="B98" s="31"/>
      <c r="C98" s="37"/>
      <c r="D98" s="37"/>
      <c r="E98" s="37"/>
    </row>
    <row r="99" spans="1:5" ht="13.8">
      <c r="A99" s="32" t="s">
        <v>65</v>
      </c>
      <c r="B99" s="31"/>
      <c r="C99" s="37"/>
      <c r="D99" s="34">
        <v>1975000000</v>
      </c>
      <c r="E99" s="37"/>
    </row>
    <row r="100" spans="1:5" ht="13.8">
      <c r="A100" s="32" t="s">
        <v>66</v>
      </c>
      <c r="B100" s="31"/>
      <c r="C100" s="34"/>
      <c r="D100" s="34">
        <v>62030969</v>
      </c>
      <c r="E100" s="37"/>
    </row>
    <row r="101" spans="1:5" ht="13.8">
      <c r="A101" s="31"/>
      <c r="B101" s="31"/>
      <c r="C101" s="37"/>
      <c r="D101" s="37"/>
      <c r="E101" s="37"/>
    </row>
    <row r="102" spans="1:5" ht="13.8">
      <c r="A102" s="32" t="s">
        <v>67</v>
      </c>
      <c r="B102" s="31"/>
      <c r="C102" s="34"/>
      <c r="D102" s="34"/>
      <c r="E102" s="34"/>
    </row>
    <row r="103" spans="1:5" ht="13.8">
      <c r="A103" s="32" t="s">
        <v>275</v>
      </c>
      <c r="B103" s="31"/>
      <c r="C103" s="34">
        <v>735710056</v>
      </c>
      <c r="D103" s="37"/>
      <c r="E103" s="34"/>
    </row>
    <row r="104" spans="1:5" ht="13.8">
      <c r="A104" s="32" t="s">
        <v>276</v>
      </c>
      <c r="B104" s="31"/>
      <c r="C104" s="34">
        <v>20391884</v>
      </c>
      <c r="D104" s="37"/>
      <c r="E104" s="34"/>
    </row>
    <row r="105" spans="1:5" ht="13.8">
      <c r="A105" s="32" t="s">
        <v>277</v>
      </c>
      <c r="B105" s="31"/>
      <c r="C105" s="34">
        <v>10851042</v>
      </c>
      <c r="D105" s="37"/>
      <c r="E105" s="37"/>
    </row>
    <row r="106" spans="1:5" ht="13.8">
      <c r="A106" s="32" t="s">
        <v>278</v>
      </c>
      <c r="B106" s="31"/>
      <c r="C106" s="34">
        <v>28368220</v>
      </c>
      <c r="D106" s="37"/>
      <c r="E106" s="34"/>
    </row>
    <row r="107" spans="1:5" ht="13.8">
      <c r="A107" s="32" t="s">
        <v>279</v>
      </c>
      <c r="B107" s="31"/>
      <c r="C107" s="35">
        <v>148109281</v>
      </c>
      <c r="D107" s="37"/>
      <c r="E107" s="34"/>
    </row>
    <row r="108" spans="1:5" ht="13.8">
      <c r="A108" s="31"/>
      <c r="B108" s="31"/>
      <c r="C108" s="36" t="s">
        <v>228</v>
      </c>
      <c r="D108" s="34">
        <f>SUM(C103:C108)</f>
        <v>943430483</v>
      </c>
      <c r="E108" s="37"/>
    </row>
    <row r="109" spans="1:5" ht="13.8">
      <c r="A109" s="31"/>
      <c r="B109" s="31"/>
      <c r="C109" s="34"/>
      <c r="D109" s="34"/>
      <c r="E109" s="34"/>
    </row>
    <row r="110" spans="1:5" ht="13.8">
      <c r="A110" s="32" t="s">
        <v>280</v>
      </c>
      <c r="B110" s="31"/>
      <c r="C110" s="34"/>
      <c r="D110" s="34"/>
      <c r="E110" s="34"/>
    </row>
    <row r="111" spans="1:5" ht="13.8">
      <c r="A111" s="32" t="s">
        <v>281</v>
      </c>
      <c r="B111" s="31"/>
      <c r="C111" s="34">
        <v>141600402.50999999</v>
      </c>
      <c r="D111" s="37"/>
      <c r="E111" s="34"/>
    </row>
    <row r="112" spans="1:5" ht="13.8">
      <c r="A112" s="32" t="s">
        <v>282</v>
      </c>
      <c r="B112" s="31"/>
      <c r="C112" s="34">
        <v>-99077737.819999993</v>
      </c>
      <c r="D112" s="37"/>
      <c r="E112" s="34"/>
    </row>
    <row r="113" spans="1:5" ht="13.8">
      <c r="A113" s="32" t="s">
        <v>283</v>
      </c>
      <c r="B113" s="31"/>
      <c r="C113" s="35">
        <v>0</v>
      </c>
      <c r="D113" s="37"/>
      <c r="E113" s="34"/>
    </row>
    <row r="114" spans="1:5" ht="13.8">
      <c r="A114" s="31"/>
      <c r="B114" s="31"/>
      <c r="C114" s="36" t="s">
        <v>228</v>
      </c>
      <c r="D114" s="34">
        <f>SUM(C111:C114)</f>
        <v>42522664.689999998</v>
      </c>
      <c r="E114" s="37"/>
    </row>
    <row r="115" spans="1:5" ht="13.8">
      <c r="A115" s="32" t="s">
        <v>80</v>
      </c>
      <c r="B115" s="31"/>
      <c r="C115" s="37"/>
      <c r="D115" s="37"/>
      <c r="E115" s="37"/>
    </row>
    <row r="116" spans="1:5" ht="13.8">
      <c r="A116" s="32" t="s">
        <v>284</v>
      </c>
      <c r="B116" s="31"/>
      <c r="C116" s="34">
        <v>261787239</v>
      </c>
      <c r="D116" s="34"/>
      <c r="E116" s="37"/>
    </row>
    <row r="117" spans="1:5" ht="13.8">
      <c r="A117" s="32" t="s">
        <v>285</v>
      </c>
      <c r="B117" s="31"/>
      <c r="C117" s="34">
        <v>17163889</v>
      </c>
      <c r="D117" s="34"/>
      <c r="E117" s="37"/>
    </row>
    <row r="118" spans="1:5" ht="13.8">
      <c r="A118" s="32" t="s">
        <v>286</v>
      </c>
      <c r="B118" s="31"/>
      <c r="C118" s="34">
        <v>29698896</v>
      </c>
      <c r="D118" s="34"/>
      <c r="E118" s="37"/>
    </row>
    <row r="119" spans="1:5" ht="13.8">
      <c r="A119" s="32" t="s">
        <v>287</v>
      </c>
      <c r="B119" s="31"/>
      <c r="C119" s="35">
        <v>29725660</v>
      </c>
      <c r="D119" s="37"/>
      <c r="E119" s="37"/>
    </row>
    <row r="120" spans="1:5" ht="13.8">
      <c r="A120" s="31"/>
      <c r="B120" s="31"/>
      <c r="C120" s="38" t="s">
        <v>228</v>
      </c>
      <c r="D120" s="35">
        <f>SUM(C116:C120)</f>
        <v>338375684</v>
      </c>
      <c r="E120" s="37"/>
    </row>
    <row r="121" spans="1:5" ht="13.8">
      <c r="A121" s="31"/>
      <c r="B121" s="31"/>
      <c r="C121" s="37"/>
      <c r="D121" s="37"/>
      <c r="E121" s="34"/>
    </row>
    <row r="122" spans="1:5" ht="13.8">
      <c r="A122" s="32" t="s">
        <v>90</v>
      </c>
      <c r="B122" s="31"/>
      <c r="C122" s="34"/>
      <c r="D122" s="34"/>
      <c r="E122" s="34">
        <f>SUM(D99:D120)</f>
        <v>3361359800.6900001</v>
      </c>
    </row>
    <row r="123" spans="1:5" ht="13.8">
      <c r="A123" s="31"/>
      <c r="B123" s="31"/>
      <c r="C123" s="37"/>
      <c r="D123" s="37"/>
      <c r="E123" s="37"/>
    </row>
    <row r="124" spans="1:5" ht="13.8">
      <c r="A124" s="31"/>
      <c r="B124" s="40" t="s">
        <v>91</v>
      </c>
      <c r="C124" s="37"/>
      <c r="D124" s="34"/>
      <c r="E124" s="34"/>
    </row>
    <row r="125" spans="1:5" ht="13.8">
      <c r="A125" s="31"/>
      <c r="B125" s="31"/>
      <c r="C125" s="37"/>
      <c r="D125" s="37"/>
      <c r="E125" s="37"/>
    </row>
    <row r="126" spans="1:5" ht="13.8">
      <c r="A126" s="32" t="s">
        <v>288</v>
      </c>
      <c r="B126" s="31"/>
      <c r="C126" s="34"/>
      <c r="D126" s="34">
        <v>525636</v>
      </c>
      <c r="E126" s="34"/>
    </row>
    <row r="127" spans="1:5" ht="13.8">
      <c r="A127" s="32" t="s">
        <v>289</v>
      </c>
      <c r="B127" s="31"/>
      <c r="C127" s="34"/>
      <c r="D127" s="35">
        <v>151702016</v>
      </c>
      <c r="E127" s="34"/>
    </row>
    <row r="128" spans="1:5" ht="13.8">
      <c r="A128" s="31"/>
      <c r="B128" s="31"/>
      <c r="C128" s="37"/>
      <c r="D128" s="36" t="s">
        <v>228</v>
      </c>
      <c r="E128" s="34"/>
    </row>
    <row r="129" spans="1:5" ht="13.8">
      <c r="A129" s="32" t="s">
        <v>94</v>
      </c>
      <c r="B129" s="31"/>
      <c r="C129" s="37"/>
      <c r="D129" s="34"/>
      <c r="E129" s="34">
        <f>D126+D127</f>
        <v>152227652</v>
      </c>
    </row>
    <row r="130" spans="1:5" ht="13.8">
      <c r="A130" s="31"/>
      <c r="B130" s="31"/>
      <c r="C130" s="34"/>
      <c r="D130" s="34"/>
      <c r="E130" s="34"/>
    </row>
    <row r="131" spans="1:5" ht="13.8">
      <c r="A131" s="31"/>
      <c r="B131" s="31"/>
      <c r="C131" s="37"/>
      <c r="D131" s="37"/>
      <c r="E131" s="37"/>
    </row>
    <row r="132" spans="1:5" ht="13.8">
      <c r="A132" s="31"/>
      <c r="B132" s="40" t="s">
        <v>95</v>
      </c>
      <c r="C132" s="37"/>
      <c r="D132" s="34"/>
      <c r="E132" s="34"/>
    </row>
    <row r="133" spans="1:5" ht="13.8">
      <c r="A133" s="31"/>
      <c r="B133" s="31"/>
      <c r="C133" s="37"/>
      <c r="D133" s="37"/>
      <c r="E133" s="37"/>
    </row>
    <row r="134" spans="1:5" ht="13.8">
      <c r="A134" s="32" t="s">
        <v>65</v>
      </c>
      <c r="B134" s="31"/>
      <c r="C134" s="34"/>
      <c r="D134" s="34">
        <v>0</v>
      </c>
      <c r="E134" s="37"/>
    </row>
    <row r="135" spans="1:5" ht="13.8">
      <c r="A135" s="32" t="s">
        <v>290</v>
      </c>
      <c r="B135" s="31"/>
      <c r="C135" s="34"/>
      <c r="D135" s="35">
        <v>0</v>
      </c>
      <c r="E135" s="37"/>
    </row>
    <row r="136" spans="1:5" ht="13.8">
      <c r="A136" s="31"/>
      <c r="B136" s="31"/>
      <c r="C136" s="34"/>
      <c r="D136" s="36" t="s">
        <v>228</v>
      </c>
      <c r="E136" s="37"/>
    </row>
    <row r="137" spans="1:5" ht="13.8">
      <c r="A137" s="32" t="s">
        <v>97</v>
      </c>
      <c r="B137" s="31"/>
      <c r="C137" s="34"/>
      <c r="D137" s="34"/>
      <c r="E137" s="34">
        <f>SUM(D134:D135)</f>
        <v>0</v>
      </c>
    </row>
    <row r="138" spans="1:5" ht="13.8">
      <c r="A138" s="31"/>
      <c r="B138" s="31"/>
      <c r="C138" s="37"/>
      <c r="D138" s="37"/>
      <c r="E138" s="37"/>
    </row>
    <row r="139" spans="1:5" ht="13.8">
      <c r="A139" s="32" t="s">
        <v>291</v>
      </c>
      <c r="B139" s="31"/>
      <c r="C139" s="34"/>
      <c r="D139" s="34"/>
      <c r="E139" s="34">
        <f>SUM(E122:E138)</f>
        <v>3513587452.6900001</v>
      </c>
    </row>
    <row r="140" spans="1:5" ht="13.8">
      <c r="A140" s="32"/>
      <c r="B140" s="31"/>
      <c r="C140" s="34"/>
      <c r="D140" s="34"/>
      <c r="E140" s="34"/>
    </row>
    <row r="141" spans="1:5" ht="13.8">
      <c r="A141" s="32" t="s">
        <v>228</v>
      </c>
      <c r="B141" s="31"/>
      <c r="C141" s="37"/>
      <c r="D141" s="37"/>
      <c r="E141" s="37"/>
    </row>
    <row r="142" spans="1:5" ht="13.8">
      <c r="A142" s="31"/>
      <c r="B142" s="31"/>
      <c r="C142" s="37"/>
      <c r="D142" s="37"/>
      <c r="E142" s="37"/>
    </row>
    <row r="143" spans="1:5" ht="13.8">
      <c r="A143" s="129" t="s">
        <v>292</v>
      </c>
      <c r="B143" s="129"/>
      <c r="C143" s="129"/>
      <c r="D143" s="129"/>
      <c r="E143" s="129"/>
    </row>
    <row r="144" spans="1:5" ht="13.8">
      <c r="A144" s="31"/>
      <c r="B144" s="31"/>
      <c r="C144" s="37"/>
      <c r="D144" s="37"/>
      <c r="E144" s="37"/>
    </row>
    <row r="145" spans="1:5" ht="13.8">
      <c r="A145" s="32" t="s">
        <v>100</v>
      </c>
      <c r="B145" s="31"/>
      <c r="C145" s="34"/>
      <c r="D145" s="34">
        <v>740000000</v>
      </c>
      <c r="E145" s="34"/>
    </row>
    <row r="146" spans="1:5" ht="13.8">
      <c r="A146" s="32" t="s">
        <v>101</v>
      </c>
      <c r="B146" s="31"/>
      <c r="C146" s="34"/>
      <c r="D146" s="34">
        <v>437426046.85000002</v>
      </c>
      <c r="E146" s="34"/>
    </row>
    <row r="147" spans="1:5" ht="13.8">
      <c r="A147" s="32" t="s">
        <v>102</v>
      </c>
      <c r="B147" s="31"/>
      <c r="C147" s="34"/>
      <c r="D147" s="34">
        <v>5399622538</v>
      </c>
      <c r="E147" s="34"/>
    </row>
    <row r="148" spans="1:5" ht="13.8">
      <c r="A148" s="32" t="s">
        <v>103</v>
      </c>
      <c r="B148" s="31"/>
      <c r="C148" s="34"/>
      <c r="D148" s="34">
        <v>2038040073.4200001</v>
      </c>
      <c r="E148" s="34"/>
    </row>
    <row r="149" spans="1:5" ht="13.8">
      <c r="A149" s="32" t="s">
        <v>104</v>
      </c>
      <c r="B149" s="31"/>
      <c r="C149" s="34"/>
      <c r="D149" s="34">
        <v>83582868.349999994</v>
      </c>
      <c r="E149" s="34"/>
    </row>
    <row r="150" spans="1:5" ht="13.8">
      <c r="A150" s="32" t="s">
        <v>293</v>
      </c>
      <c r="B150" s="31"/>
      <c r="C150" s="34"/>
      <c r="D150" s="35">
        <v>4589362695</v>
      </c>
      <c r="E150" s="34"/>
    </row>
    <row r="151" spans="1:5" ht="13.8">
      <c r="A151" s="31"/>
      <c r="B151" s="31"/>
      <c r="C151" s="34"/>
      <c r="D151" s="36" t="s">
        <v>228</v>
      </c>
      <c r="E151" s="37"/>
    </row>
    <row r="152" spans="1:5" ht="13.8">
      <c r="A152" s="32" t="s">
        <v>106</v>
      </c>
      <c r="B152" s="31"/>
      <c r="C152" s="34"/>
      <c r="D152" s="34"/>
      <c r="E152" s="35">
        <f>SUM(D145:D151)</f>
        <v>13288034221.620001</v>
      </c>
    </row>
    <row r="153" spans="1:5" ht="13.8">
      <c r="A153" s="31"/>
      <c r="B153" s="31"/>
      <c r="C153" s="34"/>
      <c r="D153" s="34"/>
      <c r="E153" s="38" t="s">
        <v>228</v>
      </c>
    </row>
    <row r="154" spans="1:5" ht="13.8">
      <c r="A154" s="31"/>
      <c r="B154" s="31"/>
      <c r="C154" s="37"/>
      <c r="D154" s="37"/>
      <c r="E154" s="37"/>
    </row>
    <row r="155" spans="1:5" ht="14.4" thickBot="1">
      <c r="A155" s="32" t="s">
        <v>107</v>
      </c>
      <c r="B155" s="31"/>
      <c r="C155" s="34"/>
      <c r="D155" s="34"/>
      <c r="E155" s="43">
        <f>E139+E152</f>
        <v>16801621674.310001</v>
      </c>
    </row>
    <row r="156" spans="1:5" ht="14.4" thickTop="1">
      <c r="A156" s="31"/>
      <c r="B156" s="31"/>
      <c r="C156" s="37"/>
      <c r="D156" s="37"/>
      <c r="E156" s="38" t="s">
        <v>228</v>
      </c>
    </row>
    <row r="157" spans="1:5" ht="13.8">
      <c r="A157" s="32" t="s">
        <v>62</v>
      </c>
      <c r="B157" s="31"/>
      <c r="C157" s="37"/>
      <c r="D157" s="37"/>
      <c r="E157" s="37"/>
    </row>
    <row r="158" spans="1:5" ht="13.8">
      <c r="A158" s="32" t="str">
        <f>A86</f>
        <v xml:space="preserve"> Diferencias fiscales</v>
      </c>
      <c r="B158" s="31"/>
      <c r="C158" s="37"/>
      <c r="D158" s="75">
        <f>D86</f>
        <v>696833449</v>
      </c>
      <c r="E158" s="37"/>
    </row>
    <row r="159" spans="1:5" ht="13.8">
      <c r="A159" s="32" t="str">
        <f>A87</f>
        <v xml:space="preserve"> Deudoras de Control</v>
      </c>
      <c r="B159" s="31"/>
      <c r="C159" s="37"/>
      <c r="D159" s="75">
        <f>D87</f>
        <v>392543501</v>
      </c>
      <c r="E159" s="37"/>
    </row>
    <row r="160" spans="1:5" ht="13.8">
      <c r="A160" s="32" t="str">
        <f>A88</f>
        <v xml:space="preserve"> Derechos Contingentes</v>
      </c>
      <c r="B160" s="31"/>
      <c r="C160" s="37"/>
      <c r="D160" s="75">
        <f>D88</f>
        <v>9391788</v>
      </c>
      <c r="E160" s="37"/>
    </row>
    <row r="161" spans="1:5" ht="13.8">
      <c r="A161" s="32" t="str">
        <f>A89</f>
        <v xml:space="preserve"> Responsabilidades Contingentes</v>
      </c>
      <c r="B161" s="31"/>
      <c r="C161" s="34"/>
      <c r="D161" s="76">
        <f>D89</f>
        <v>1883250</v>
      </c>
      <c r="E161" s="37"/>
    </row>
    <row r="162" spans="1:5" ht="13.8">
      <c r="A162" s="31"/>
      <c r="B162" s="31"/>
      <c r="C162" s="34"/>
      <c r="D162" s="38" t="s">
        <v>228</v>
      </c>
      <c r="E162" s="37"/>
    </row>
    <row r="163" spans="1:5" ht="14.4" thickBot="1">
      <c r="A163" s="32" t="s">
        <v>294</v>
      </c>
      <c r="B163" s="31"/>
      <c r="C163" s="37"/>
      <c r="D163" s="37"/>
      <c r="E163" s="43">
        <f>D158+D159+D160+D161</f>
        <v>1100651988</v>
      </c>
    </row>
    <row r="164" spans="1:5" ht="14.4" thickTop="1">
      <c r="A164" s="31"/>
      <c r="B164" s="31"/>
      <c r="C164" s="37"/>
      <c r="D164" s="37"/>
      <c r="E164" s="38" t="s">
        <v>228</v>
      </c>
    </row>
    <row r="165" spans="1:5" ht="13.8">
      <c r="A165" s="31"/>
      <c r="B165" s="31"/>
      <c r="C165" s="37"/>
      <c r="D165" s="37"/>
      <c r="E165" s="37"/>
    </row>
    <row r="166" spans="1:5" ht="13.8">
      <c r="A166" s="31"/>
      <c r="B166" s="31"/>
      <c r="C166" s="37"/>
      <c r="D166" s="37"/>
      <c r="E166" s="37"/>
    </row>
    <row r="167" spans="1:5" ht="13.8">
      <c r="A167" s="31"/>
      <c r="B167" s="31"/>
      <c r="C167" s="37"/>
      <c r="D167" s="37"/>
      <c r="E167" s="37"/>
    </row>
    <row r="168" spans="1:5" ht="13.8">
      <c r="A168" s="31"/>
      <c r="B168" s="31"/>
      <c r="C168" s="37"/>
      <c r="D168" s="37"/>
      <c r="E168" s="37"/>
    </row>
    <row r="169" spans="1:5" ht="13.8">
      <c r="A169" s="31"/>
      <c r="B169" s="31"/>
      <c r="C169" s="37"/>
      <c r="D169" s="37"/>
      <c r="E169" s="37"/>
    </row>
    <row r="170" spans="1:5" ht="13.8">
      <c r="A170" s="31"/>
      <c r="B170" s="31"/>
      <c r="C170" s="37"/>
      <c r="D170" s="37"/>
      <c r="E170" s="37"/>
    </row>
    <row r="171" spans="1:5" ht="13.8">
      <c r="A171" s="44" t="s">
        <v>295</v>
      </c>
      <c r="B171" s="31"/>
      <c r="C171" s="34"/>
      <c r="D171" s="45" t="s">
        <v>296</v>
      </c>
      <c r="E171" s="34"/>
    </row>
    <row r="172" spans="1:5" ht="13.8">
      <c r="A172" s="31"/>
      <c r="B172" s="31"/>
      <c r="C172" s="34"/>
      <c r="D172" s="34"/>
      <c r="E172" s="34"/>
    </row>
    <row r="173" spans="1:5" ht="13.8">
      <c r="A173" s="125" t="s">
        <v>226</v>
      </c>
      <c r="B173" s="125"/>
      <c r="C173" s="125"/>
      <c r="D173" s="125"/>
      <c r="E173" s="125"/>
    </row>
    <row r="174" spans="1:5" ht="13.8">
      <c r="A174" s="125" t="s">
        <v>227</v>
      </c>
      <c r="B174" s="125"/>
      <c r="C174" s="125"/>
      <c r="D174" s="125"/>
      <c r="E174" s="125"/>
    </row>
    <row r="175" spans="1:5" ht="13.8">
      <c r="A175" s="31"/>
      <c r="B175" s="31"/>
      <c r="C175" s="37"/>
      <c r="D175" s="32" t="s">
        <v>228</v>
      </c>
      <c r="E175" s="37"/>
    </row>
    <row r="176" spans="1:5" ht="13.8">
      <c r="A176" s="125" t="s">
        <v>146</v>
      </c>
      <c r="B176" s="125"/>
      <c r="C176" s="125"/>
      <c r="D176" s="125"/>
      <c r="E176" s="125"/>
    </row>
    <row r="177" spans="1:5" ht="13.8">
      <c r="A177" s="125" t="s">
        <v>351</v>
      </c>
      <c r="B177" s="125"/>
      <c r="C177" s="125"/>
      <c r="D177" s="125"/>
      <c r="E177" s="125"/>
    </row>
    <row r="178" spans="1:5" ht="13.8">
      <c r="A178" s="31"/>
      <c r="B178" s="31"/>
      <c r="C178" s="37"/>
      <c r="D178" s="37"/>
      <c r="E178" s="37"/>
    </row>
    <row r="179" spans="1:5" ht="13.8">
      <c r="A179" s="31"/>
      <c r="B179" s="31"/>
      <c r="C179" s="37"/>
      <c r="D179" s="37"/>
      <c r="E179" s="37"/>
    </row>
    <row r="180" spans="1:5" ht="13.8">
      <c r="A180" s="31"/>
      <c r="B180" s="31"/>
      <c r="C180" s="37"/>
      <c r="D180" s="37"/>
      <c r="E180" s="37"/>
    </row>
    <row r="181" spans="1:5" ht="13.8">
      <c r="A181" s="32" t="s">
        <v>297</v>
      </c>
      <c r="B181" s="31"/>
      <c r="C181" s="34">
        <v>163769052</v>
      </c>
      <c r="D181" s="34"/>
      <c r="E181" s="34"/>
    </row>
    <row r="182" spans="1:5" ht="13.8">
      <c r="A182" s="32" t="s">
        <v>298</v>
      </c>
      <c r="B182" s="31"/>
      <c r="C182" s="35">
        <v>6252854201.2799997</v>
      </c>
      <c r="D182" s="34"/>
      <c r="E182" s="34"/>
    </row>
    <row r="183" spans="1:5" ht="13.8">
      <c r="A183" s="32"/>
      <c r="B183" s="31"/>
      <c r="C183" s="42"/>
      <c r="D183" s="34"/>
      <c r="E183" s="34"/>
    </row>
    <row r="184" spans="1:5" ht="13.8">
      <c r="A184" s="31"/>
      <c r="B184" s="31"/>
      <c r="C184" s="38" t="s">
        <v>228</v>
      </c>
      <c r="D184" s="34">
        <f>SUM(C181:C182)</f>
        <v>6416623253.2799997</v>
      </c>
      <c r="E184" s="34"/>
    </row>
    <row r="185" spans="1:5" ht="13.8">
      <c r="A185" s="32" t="s">
        <v>299</v>
      </c>
      <c r="B185" s="31"/>
      <c r="C185" s="34"/>
      <c r="D185" s="35">
        <v>-33109254</v>
      </c>
      <c r="E185" s="34"/>
    </row>
    <row r="186" spans="1:5" ht="13.8">
      <c r="A186" s="31"/>
      <c r="B186" s="31"/>
      <c r="C186" s="34"/>
      <c r="D186" s="38" t="s">
        <v>228</v>
      </c>
      <c r="E186" s="34"/>
    </row>
    <row r="187" spans="1:5" ht="13.8">
      <c r="A187" s="32" t="s">
        <v>119</v>
      </c>
      <c r="B187" s="31"/>
      <c r="C187" s="34"/>
      <c r="D187" s="34"/>
      <c r="E187" s="34">
        <f>SUM(D184:D185)</f>
        <v>6383513999.2799997</v>
      </c>
    </row>
    <row r="188" spans="1:5" ht="13.8">
      <c r="A188" s="31"/>
      <c r="B188" s="31"/>
      <c r="C188" s="34"/>
      <c r="D188" s="34"/>
      <c r="E188" s="34"/>
    </row>
    <row r="189" spans="1:5" ht="13.8">
      <c r="A189" s="32" t="s">
        <v>120</v>
      </c>
      <c r="B189" s="31"/>
      <c r="C189" s="34"/>
      <c r="D189" s="34"/>
      <c r="E189" s="35">
        <v>-3309874992.1700001</v>
      </c>
    </row>
    <row r="190" spans="1:5" ht="13.8">
      <c r="A190" s="31"/>
      <c r="B190" s="31"/>
      <c r="C190" s="34"/>
      <c r="D190" s="34"/>
      <c r="E190" s="38" t="s">
        <v>228</v>
      </c>
    </row>
    <row r="191" spans="1:5" ht="13.8">
      <c r="A191" s="32" t="s">
        <v>121</v>
      </c>
      <c r="B191" s="31"/>
      <c r="C191" s="34"/>
      <c r="D191" s="34"/>
      <c r="E191" s="34">
        <f>E187+E189</f>
        <v>3073639007.1099997</v>
      </c>
    </row>
    <row r="192" spans="1:5" ht="13.8">
      <c r="A192" s="32"/>
      <c r="B192" s="31"/>
      <c r="C192" s="34"/>
      <c r="D192" s="34"/>
      <c r="E192" s="34"/>
    </row>
    <row r="193" spans="1:5" ht="13.8">
      <c r="A193" s="31"/>
      <c r="B193" s="31"/>
      <c r="C193" s="34"/>
      <c r="D193" s="34"/>
      <c r="E193" s="34"/>
    </row>
    <row r="194" spans="1:5" ht="13.8">
      <c r="A194" s="31"/>
      <c r="B194" s="32" t="s">
        <v>300</v>
      </c>
      <c r="C194" s="34"/>
      <c r="D194" s="34"/>
      <c r="E194" s="34"/>
    </row>
    <row r="195" spans="1:5" ht="13.8">
      <c r="A195" s="31"/>
      <c r="B195" s="31"/>
      <c r="C195" s="34"/>
      <c r="D195" s="34"/>
      <c r="E195" s="34"/>
    </row>
    <row r="196" spans="1:5" ht="13.8">
      <c r="A196" s="32" t="s">
        <v>123</v>
      </c>
      <c r="B196" s="31"/>
      <c r="C196" s="34"/>
      <c r="D196" s="34"/>
      <c r="E196" s="34"/>
    </row>
    <row r="197" spans="1:5" ht="13.8">
      <c r="A197" s="32" t="s">
        <v>301</v>
      </c>
      <c r="B197" s="31"/>
      <c r="C197" s="34">
        <v>407874515</v>
      </c>
      <c r="D197" s="34"/>
      <c r="E197" s="34"/>
    </row>
    <row r="198" spans="1:5" ht="13.8">
      <c r="A198" s="32" t="s">
        <v>302</v>
      </c>
      <c r="B198" s="31"/>
      <c r="C198" s="35">
        <v>280667728.81</v>
      </c>
      <c r="D198" s="34"/>
      <c r="E198" s="34"/>
    </row>
    <row r="199" spans="1:5" ht="13.8">
      <c r="A199" s="32"/>
      <c r="B199" s="31"/>
      <c r="C199" s="42"/>
      <c r="D199" s="34"/>
      <c r="E199" s="34"/>
    </row>
    <row r="200" spans="1:5" ht="13.8">
      <c r="A200" s="31"/>
      <c r="B200" s="31"/>
      <c r="C200" s="38" t="s">
        <v>228</v>
      </c>
      <c r="D200" s="34">
        <f>SUM(C197:C198)</f>
        <v>688542243.80999994</v>
      </c>
      <c r="E200" s="34"/>
    </row>
    <row r="201" spans="1:5" ht="13.8">
      <c r="A201" s="32" t="s">
        <v>127</v>
      </c>
      <c r="B201" s="31"/>
      <c r="C201" s="34"/>
      <c r="D201" s="34"/>
      <c r="E201" s="34"/>
    </row>
    <row r="202" spans="1:5" ht="13.8">
      <c r="A202" s="32" t="s">
        <v>301</v>
      </c>
      <c r="B202" s="31"/>
      <c r="C202" s="34">
        <v>79699454</v>
      </c>
      <c r="D202" s="34"/>
      <c r="E202" s="34"/>
    </row>
    <row r="203" spans="1:5" ht="13.8">
      <c r="A203" s="32" t="s">
        <v>302</v>
      </c>
      <c r="B203" s="31"/>
      <c r="C203" s="35">
        <v>870965817</v>
      </c>
      <c r="D203" s="34"/>
      <c r="E203" s="34"/>
    </row>
    <row r="204" spans="1:5" ht="13.8">
      <c r="A204" s="32"/>
      <c r="B204" s="31"/>
      <c r="C204" s="42"/>
      <c r="D204" s="34"/>
      <c r="E204" s="34"/>
    </row>
    <row r="205" spans="1:5" ht="13.8">
      <c r="A205" s="31"/>
      <c r="B205" s="31"/>
      <c r="C205" s="38" t="s">
        <v>228</v>
      </c>
      <c r="D205" s="35">
        <f>SUM(C202:C203)</f>
        <v>950665271</v>
      </c>
      <c r="E205" s="34"/>
    </row>
    <row r="206" spans="1:5" ht="13.8">
      <c r="A206" s="32" t="s">
        <v>129</v>
      </c>
      <c r="B206" s="31"/>
      <c r="C206" s="34"/>
      <c r="D206" s="38" t="s">
        <v>228</v>
      </c>
      <c r="E206" s="35">
        <f>-(+D200+D205)</f>
        <v>-1639207514.8099999</v>
      </c>
    </row>
    <row r="207" spans="1:5" ht="13.8">
      <c r="A207" s="31"/>
      <c r="B207" s="31"/>
      <c r="C207" s="34"/>
      <c r="D207" s="34"/>
      <c r="E207" s="38" t="s">
        <v>228</v>
      </c>
    </row>
    <row r="208" spans="1:5" ht="13.8">
      <c r="A208" s="32" t="s">
        <v>130</v>
      </c>
      <c r="B208" s="31"/>
      <c r="C208" s="34"/>
      <c r="D208" s="34"/>
      <c r="E208" s="34">
        <f>E191+E206</f>
        <v>1434431492.2999997</v>
      </c>
    </row>
    <row r="209" spans="1:5" ht="13.8">
      <c r="A209" s="32"/>
      <c r="B209" s="31"/>
      <c r="C209" s="34"/>
      <c r="D209" s="34"/>
      <c r="E209" s="34"/>
    </row>
    <row r="210" spans="1:5" ht="13.8">
      <c r="A210" s="31"/>
      <c r="B210" s="31"/>
      <c r="C210" s="34"/>
      <c r="D210" s="34"/>
      <c r="E210" s="34"/>
    </row>
    <row r="211" spans="1:5" ht="13.8">
      <c r="A211" s="32" t="s">
        <v>303</v>
      </c>
      <c r="B211" s="31"/>
      <c r="C211" s="34"/>
      <c r="D211" s="34"/>
      <c r="E211" s="34"/>
    </row>
    <row r="212" spans="1:5" ht="13.8">
      <c r="A212" s="32" t="s">
        <v>304</v>
      </c>
      <c r="B212" s="31"/>
      <c r="C212" s="34">
        <v>7418260</v>
      </c>
      <c r="D212" s="34"/>
      <c r="E212" s="34"/>
    </row>
    <row r="213" spans="1:5" ht="13.8">
      <c r="A213" s="32" t="s">
        <v>305</v>
      </c>
      <c r="B213" s="31"/>
      <c r="C213" s="34">
        <v>1011203748.54</v>
      </c>
      <c r="D213" s="34"/>
      <c r="E213" s="34"/>
    </row>
    <row r="214" spans="1:5" ht="13.8">
      <c r="A214" s="32" t="s">
        <v>306</v>
      </c>
      <c r="B214" s="31"/>
      <c r="C214" s="35">
        <v>355599143.04000002</v>
      </c>
      <c r="D214" s="34"/>
      <c r="E214" s="34"/>
    </row>
    <row r="215" spans="1:5" ht="13.8">
      <c r="A215" s="31"/>
      <c r="B215" s="31"/>
      <c r="C215" s="38" t="s">
        <v>228</v>
      </c>
      <c r="D215" s="34">
        <f>SUM(C212:C214)</f>
        <v>1374221151.5799999</v>
      </c>
      <c r="E215" s="34"/>
    </row>
    <row r="216" spans="1:5" ht="13.8">
      <c r="A216" s="32" t="s">
        <v>307</v>
      </c>
      <c r="B216" s="31"/>
      <c r="C216" s="34"/>
      <c r="D216" s="34"/>
      <c r="E216" s="34"/>
    </row>
    <row r="217" spans="1:5" ht="13.8">
      <c r="A217" s="32" t="s">
        <v>305</v>
      </c>
      <c r="B217" s="31"/>
      <c r="C217" s="34">
        <v>274737476.45999998</v>
      </c>
      <c r="D217" s="34"/>
      <c r="E217" s="34"/>
    </row>
    <row r="218" spans="1:5" ht="13.8">
      <c r="A218" t="s">
        <v>352</v>
      </c>
      <c r="B218" s="31"/>
      <c r="C218" s="35">
        <v>6662709</v>
      </c>
      <c r="D218" s="42"/>
      <c r="E218" s="34"/>
    </row>
    <row r="219" spans="1:5" ht="13.8">
      <c r="B219" s="31"/>
      <c r="C219" s="42"/>
      <c r="D219" s="35">
        <f>-SUM(C217:C218)</f>
        <v>-281400185.45999998</v>
      </c>
      <c r="E219" s="34"/>
    </row>
    <row r="220" spans="1:5" ht="13.8">
      <c r="A220" s="31"/>
      <c r="B220" s="31"/>
      <c r="C220" s="38" t="s">
        <v>228</v>
      </c>
      <c r="D220" s="42" t="s">
        <v>228</v>
      </c>
      <c r="E220" s="35">
        <f>+D215+D219</f>
        <v>1092820966.1199999</v>
      </c>
    </row>
    <row r="221" spans="1:5" ht="13.8">
      <c r="A221" s="31"/>
      <c r="B221" s="31"/>
      <c r="C221" s="34"/>
      <c r="D221" s="38" t="s">
        <v>228</v>
      </c>
      <c r="E221" s="38" t="s">
        <v>228</v>
      </c>
    </row>
    <row r="222" spans="1:5" ht="13.8">
      <c r="A222" s="32" t="s">
        <v>308</v>
      </c>
      <c r="B222" s="31"/>
      <c r="C222" s="34"/>
      <c r="D222" s="34"/>
      <c r="E222" s="34">
        <f>E208+E220</f>
        <v>2527252458.4199996</v>
      </c>
    </row>
    <row r="223" spans="1:5" ht="13.8">
      <c r="A223" s="31"/>
      <c r="B223" s="31"/>
      <c r="C223" s="34"/>
      <c r="D223" s="34"/>
      <c r="E223" s="34"/>
    </row>
    <row r="224" spans="1:5" ht="13.8">
      <c r="A224" s="32" t="s">
        <v>30</v>
      </c>
      <c r="B224" s="31"/>
      <c r="C224" s="34"/>
      <c r="D224" s="34"/>
      <c r="E224" s="35">
        <v>-370427385</v>
      </c>
    </row>
    <row r="225" spans="1:5" ht="13.8">
      <c r="A225" s="31"/>
      <c r="B225" s="31"/>
      <c r="C225" s="34"/>
      <c r="D225" s="34"/>
      <c r="E225" s="38" t="s">
        <v>228</v>
      </c>
    </row>
    <row r="226" spans="1:5" ht="13.8">
      <c r="A226" s="32" t="s">
        <v>140</v>
      </c>
      <c r="B226" s="31"/>
      <c r="C226" s="34"/>
      <c r="D226" s="34"/>
      <c r="E226" s="34">
        <f>E222+E224</f>
        <v>2156825073.4199996</v>
      </c>
    </row>
    <row r="227" spans="1:5" ht="13.8">
      <c r="A227" s="31"/>
      <c r="B227" s="31"/>
      <c r="C227" s="34"/>
      <c r="D227" s="34"/>
      <c r="E227" s="34"/>
    </row>
    <row r="228" spans="1:5" ht="13.8">
      <c r="A228" s="32" t="s">
        <v>309</v>
      </c>
      <c r="B228" s="31"/>
      <c r="C228" s="34"/>
      <c r="D228" s="34"/>
      <c r="E228" s="34">
        <v>-118785000</v>
      </c>
    </row>
    <row r="229" spans="1:5" ht="13.8">
      <c r="A229" s="31"/>
      <c r="B229" s="31"/>
      <c r="C229" s="34"/>
      <c r="D229" s="34"/>
      <c r="E229" s="38" t="s">
        <v>228</v>
      </c>
    </row>
    <row r="230" spans="1:5" ht="14.4" thickBot="1">
      <c r="A230" s="32" t="s">
        <v>142</v>
      </c>
      <c r="B230" s="31"/>
      <c r="C230" s="34"/>
      <c r="D230" s="34"/>
      <c r="E230" s="41">
        <f>E226+E228</f>
        <v>2038040073.4199996</v>
      </c>
    </row>
    <row r="231" spans="1:5" ht="13.8" thickTop="1"/>
  </sheetData>
  <mergeCells count="14">
    <mergeCell ref="A75:E75"/>
    <mergeCell ref="A95:E95"/>
    <mergeCell ref="A97:E97"/>
    <mergeCell ref="A143:E143"/>
    <mergeCell ref="A176:E176"/>
    <mergeCell ref="A177:E177"/>
    <mergeCell ref="A173:E173"/>
    <mergeCell ref="A1:E1"/>
    <mergeCell ref="A2:E2"/>
    <mergeCell ref="A4:E4"/>
    <mergeCell ref="A174:E174"/>
    <mergeCell ref="A9:E9"/>
    <mergeCell ref="A11:E11"/>
    <mergeCell ref="A55:E55"/>
  </mergeCells>
  <phoneticPr fontId="0" type="noConversion"/>
  <pageMargins left="0.75" right="0.75" top="1" bottom="1" header="0" footer="0"/>
  <pageSetup scale="98" orientation="portrait" horizontalDpi="300" verticalDpi="144" r:id="rId1"/>
  <headerFooter alignWithMargins="0"/>
  <rowBreaks count="4" manualBreakCount="4">
    <brk id="53" max="16383" man="1"/>
    <brk id="94" max="16383" man="1"/>
    <brk id="142" max="16383" man="1"/>
    <brk id="17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1"/>
  <sheetViews>
    <sheetView view="pageBreakPreview" zoomScale="60" zoomScaleNormal="100" workbookViewId="0"/>
  </sheetViews>
  <sheetFormatPr baseColWidth="10" defaultColWidth="11.44140625" defaultRowHeight="13.2"/>
  <cols>
    <col min="1" max="1" width="44" customWidth="1"/>
    <col min="2" max="2" width="16.6640625" customWidth="1"/>
    <col min="3" max="3" width="16.5546875" customWidth="1"/>
    <col min="4" max="11" width="16.33203125" customWidth="1"/>
    <col min="12" max="13" width="16.33203125" hidden="1" customWidth="1"/>
    <col min="14" max="14" width="15.5546875" customWidth="1"/>
  </cols>
  <sheetData>
    <row r="3" spans="1:14" ht="22.8">
      <c r="B3" s="132" t="s">
        <v>370</v>
      </c>
      <c r="C3" s="132"/>
      <c r="D3" s="132"/>
      <c r="E3" s="132"/>
    </row>
    <row r="4" spans="1:14" ht="22.8">
      <c r="B4" s="132" t="s">
        <v>368</v>
      </c>
      <c r="C4" s="132"/>
      <c r="D4" s="132"/>
      <c r="E4" s="132"/>
    </row>
    <row r="5" spans="1:14">
      <c r="B5" s="1"/>
      <c r="C5" s="1"/>
    </row>
    <row r="6" spans="1:14">
      <c r="A6" s="2"/>
      <c r="B6" s="18"/>
      <c r="C6" s="18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>
      <c r="A7" s="19" t="s">
        <v>148</v>
      </c>
      <c r="B7" s="17" t="s">
        <v>357</v>
      </c>
      <c r="C7" s="17" t="s">
        <v>358</v>
      </c>
      <c r="D7" s="16" t="s">
        <v>359</v>
      </c>
      <c r="E7" s="16" t="s">
        <v>360</v>
      </c>
      <c r="F7" s="16" t="s">
        <v>361</v>
      </c>
      <c r="G7" s="16" t="s">
        <v>362</v>
      </c>
      <c r="H7" s="16" t="s">
        <v>363</v>
      </c>
      <c r="I7" s="16" t="s">
        <v>364</v>
      </c>
      <c r="J7" s="16" t="s">
        <v>365</v>
      </c>
      <c r="K7" s="16" t="s">
        <v>353</v>
      </c>
      <c r="L7" s="16" t="s">
        <v>366</v>
      </c>
      <c r="M7" s="16" t="s">
        <v>367</v>
      </c>
      <c r="N7" s="16" t="s">
        <v>149</v>
      </c>
    </row>
    <row r="8" spans="1:14">
      <c r="A8" s="5"/>
      <c r="B8" s="6">
        <v>2000</v>
      </c>
      <c r="C8" s="6">
        <v>2000</v>
      </c>
      <c r="D8" s="6">
        <v>2000</v>
      </c>
      <c r="E8" s="6">
        <v>2000</v>
      </c>
      <c r="F8" s="6">
        <v>2000</v>
      </c>
      <c r="G8" s="6">
        <v>2000</v>
      </c>
      <c r="H8" s="6">
        <v>2000</v>
      </c>
      <c r="I8" s="6">
        <v>2000</v>
      </c>
      <c r="J8" s="6">
        <v>2000</v>
      </c>
      <c r="K8" s="6">
        <v>2000</v>
      </c>
      <c r="L8" s="6">
        <v>2000</v>
      </c>
      <c r="M8" s="6">
        <v>2000</v>
      </c>
      <c r="N8" s="6">
        <v>2000</v>
      </c>
    </row>
    <row r="10" spans="1:14" ht="13.8">
      <c r="A10" t="s">
        <v>372</v>
      </c>
      <c r="B10" s="77">
        <v>0</v>
      </c>
      <c r="C10" s="77">
        <v>0</v>
      </c>
      <c r="D10" s="77">
        <v>-907200</v>
      </c>
      <c r="E10" s="77">
        <v>0</v>
      </c>
      <c r="F10" s="77">
        <v>-3110400</v>
      </c>
      <c r="G10" s="77">
        <v>-1058400</v>
      </c>
      <c r="H10" s="77">
        <v>0</v>
      </c>
      <c r="I10" s="77">
        <v>0</v>
      </c>
      <c r="J10" s="77">
        <v>-158693052</v>
      </c>
      <c r="K10" s="77">
        <v>-680895961</v>
      </c>
      <c r="L10" s="77"/>
      <c r="M10" s="77"/>
      <c r="N10" s="77">
        <f t="shared" ref="N10:N16" si="0">SUM(B10:M10)</f>
        <v>-844665013</v>
      </c>
    </row>
    <row r="11" spans="1:14" ht="13.8">
      <c r="A11" t="s">
        <v>373</v>
      </c>
      <c r="B11" s="78">
        <v>0</v>
      </c>
      <c r="C11" s="78">
        <v>-77615241</v>
      </c>
      <c r="D11" s="78">
        <v>-59051162</v>
      </c>
      <c r="E11" s="78">
        <v>-250057137</v>
      </c>
      <c r="F11" s="78">
        <v>-582492277</v>
      </c>
      <c r="G11" s="78">
        <v>-578357773</v>
      </c>
      <c r="H11" s="78">
        <v>-1238150066.28</v>
      </c>
      <c r="I11" s="78">
        <v>-2067952811</v>
      </c>
      <c r="J11" s="78">
        <v>-1399177734</v>
      </c>
      <c r="K11" s="78">
        <v>-660127661</v>
      </c>
      <c r="L11" s="78"/>
      <c r="M11" s="78"/>
      <c r="N11" s="78">
        <f t="shared" si="0"/>
        <v>-6912981862.2799997</v>
      </c>
    </row>
    <row r="12" spans="1:14" ht="13.8">
      <c r="A12" t="s">
        <v>117</v>
      </c>
      <c r="B12" s="77">
        <f t="shared" ref="B12:M12" si="1">SUM(B10:B11)</f>
        <v>0</v>
      </c>
      <c r="C12" s="77">
        <f t="shared" si="1"/>
        <v>-77615241</v>
      </c>
      <c r="D12" s="77">
        <f t="shared" si="1"/>
        <v>-59958362</v>
      </c>
      <c r="E12" s="77">
        <f t="shared" si="1"/>
        <v>-250057137</v>
      </c>
      <c r="F12" s="77">
        <f t="shared" si="1"/>
        <v>-585602677</v>
      </c>
      <c r="G12" s="77">
        <f t="shared" si="1"/>
        <v>-579416173</v>
      </c>
      <c r="H12" s="77">
        <f t="shared" si="1"/>
        <v>-1238150066.28</v>
      </c>
      <c r="I12" s="77">
        <f t="shared" si="1"/>
        <v>-2067952811</v>
      </c>
      <c r="J12" s="77">
        <f t="shared" si="1"/>
        <v>-1557870786</v>
      </c>
      <c r="K12" s="77">
        <f t="shared" si="1"/>
        <v>-1341023622</v>
      </c>
      <c r="L12" s="77">
        <f t="shared" si="1"/>
        <v>0</v>
      </c>
      <c r="M12" s="77">
        <f t="shared" si="1"/>
        <v>0</v>
      </c>
      <c r="N12" s="77">
        <f t="shared" si="0"/>
        <v>-7757646875.2799997</v>
      </c>
    </row>
    <row r="13" spans="1:14" ht="13.8">
      <c r="A13" t="s">
        <v>118</v>
      </c>
      <c r="B13" s="78">
        <v>0</v>
      </c>
      <c r="C13" s="78">
        <v>0</v>
      </c>
      <c r="D13" s="78">
        <v>38400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33070854</v>
      </c>
      <c r="K13" s="78">
        <v>118978041</v>
      </c>
      <c r="L13" s="78">
        <v>0</v>
      </c>
      <c r="M13" s="78">
        <v>0</v>
      </c>
      <c r="N13" s="78">
        <f t="shared" si="0"/>
        <v>152087295</v>
      </c>
    </row>
    <row r="14" spans="1:14" ht="13.8">
      <c r="A14" t="s">
        <v>119</v>
      </c>
      <c r="B14" s="77">
        <f t="shared" ref="B14:M14" si="2">SUM(B12:B13)</f>
        <v>0</v>
      </c>
      <c r="C14" s="77">
        <f t="shared" si="2"/>
        <v>-77615241</v>
      </c>
      <c r="D14" s="77">
        <f t="shared" si="2"/>
        <v>-59919962</v>
      </c>
      <c r="E14" s="77">
        <f t="shared" si="2"/>
        <v>-250057137</v>
      </c>
      <c r="F14" s="77">
        <f t="shared" si="2"/>
        <v>-585602677</v>
      </c>
      <c r="G14" s="77">
        <f t="shared" si="2"/>
        <v>-579416173</v>
      </c>
      <c r="H14" s="77">
        <f t="shared" si="2"/>
        <v>-1238150066.28</v>
      </c>
      <c r="I14" s="77">
        <f t="shared" si="2"/>
        <v>-2067952811</v>
      </c>
      <c r="J14" s="77">
        <f t="shared" si="2"/>
        <v>-1524799932</v>
      </c>
      <c r="K14" s="77">
        <f t="shared" si="2"/>
        <v>-1222045581</v>
      </c>
      <c r="L14" s="77">
        <f t="shared" si="2"/>
        <v>0</v>
      </c>
      <c r="M14" s="77">
        <f t="shared" si="2"/>
        <v>0</v>
      </c>
      <c r="N14" s="77">
        <f t="shared" si="0"/>
        <v>-7605559580.2799997</v>
      </c>
    </row>
    <row r="15" spans="1:14" ht="13.8">
      <c r="A15" t="s">
        <v>120</v>
      </c>
      <c r="B15" s="78">
        <v>65110.02</v>
      </c>
      <c r="C15" s="78">
        <v>80775883.549999997</v>
      </c>
      <c r="D15" s="78">
        <v>861724.75</v>
      </c>
      <c r="E15" s="78">
        <v>344319164.20999998</v>
      </c>
      <c r="F15" s="78">
        <v>172386684.83000001</v>
      </c>
      <c r="G15" s="78">
        <v>299869767.06999999</v>
      </c>
      <c r="H15" s="78">
        <v>596358714.45000005</v>
      </c>
      <c r="I15" s="78">
        <v>1126575905.05</v>
      </c>
      <c r="J15" s="78">
        <v>688662038.24000001</v>
      </c>
      <c r="K15" s="78">
        <v>323791602.44999999</v>
      </c>
      <c r="L15" s="78"/>
      <c r="M15" s="78"/>
      <c r="N15" s="78">
        <f t="shared" si="0"/>
        <v>3633666594.6199999</v>
      </c>
    </row>
    <row r="16" spans="1:14" ht="13.8">
      <c r="A16" t="s">
        <v>121</v>
      </c>
      <c r="B16" s="77">
        <f t="shared" ref="B16:M16" si="3">SUM(B14:B15)</f>
        <v>65110.02</v>
      </c>
      <c r="C16" s="77">
        <f t="shared" si="3"/>
        <v>3160642.549999997</v>
      </c>
      <c r="D16" s="77">
        <f t="shared" si="3"/>
        <v>-59058237.25</v>
      </c>
      <c r="E16" s="77">
        <f t="shared" si="3"/>
        <v>94262027.209999979</v>
      </c>
      <c r="F16" s="77">
        <f t="shared" si="3"/>
        <v>-413215992.16999996</v>
      </c>
      <c r="G16" s="77">
        <f t="shared" si="3"/>
        <v>-279546405.93000001</v>
      </c>
      <c r="H16" s="77">
        <f t="shared" si="3"/>
        <v>-641791351.82999992</v>
      </c>
      <c r="I16" s="77">
        <f t="shared" si="3"/>
        <v>-941376905.95000005</v>
      </c>
      <c r="J16" s="77">
        <f t="shared" si="3"/>
        <v>-836137893.75999999</v>
      </c>
      <c r="K16" s="77">
        <f t="shared" si="3"/>
        <v>-898253978.54999995</v>
      </c>
      <c r="L16" s="77">
        <f t="shared" si="3"/>
        <v>0</v>
      </c>
      <c r="M16" s="77">
        <f t="shared" si="3"/>
        <v>0</v>
      </c>
      <c r="N16" s="77">
        <f t="shared" si="0"/>
        <v>-3971892985.6599998</v>
      </c>
    </row>
    <row r="17" spans="1:14" ht="13.8">
      <c r="B17" s="77"/>
      <c r="C17" s="77"/>
      <c r="D17" s="79"/>
      <c r="E17" s="80"/>
      <c r="F17" s="80"/>
      <c r="G17" s="80"/>
      <c r="H17" s="80"/>
      <c r="I17" s="80"/>
      <c r="J17" s="80"/>
      <c r="K17" s="80"/>
      <c r="L17" s="80"/>
      <c r="M17" s="80"/>
      <c r="N17" s="81"/>
    </row>
    <row r="18" spans="1:14" ht="13.8">
      <c r="A18" t="s">
        <v>369</v>
      </c>
      <c r="B18" s="81" t="e">
        <f>+B16/B14</f>
        <v>#DIV/0!</v>
      </c>
      <c r="C18" s="82">
        <f t="shared" ref="C18:N18" si="4">+C16/C14</f>
        <v>-4.0721931791721129E-2</v>
      </c>
      <c r="D18" s="82">
        <f t="shared" si="4"/>
        <v>0.98561873670747657</v>
      </c>
      <c r="E18" s="82">
        <f t="shared" si="4"/>
        <v>-0.37696195493912249</v>
      </c>
      <c r="F18" s="82">
        <f t="shared" si="4"/>
        <v>0.7056251762489808</v>
      </c>
      <c r="G18" s="82">
        <f t="shared" si="4"/>
        <v>0.48246220757458907</v>
      </c>
      <c r="H18" s="82">
        <f t="shared" si="4"/>
        <v>0.51834698338162732</v>
      </c>
      <c r="I18" s="82">
        <f t="shared" si="4"/>
        <v>0.45522165735241238</v>
      </c>
      <c r="J18" s="82">
        <f t="shared" si="4"/>
        <v>0.54835908384602416</v>
      </c>
      <c r="K18" s="82">
        <f t="shared" si="4"/>
        <v>0.73504130493639908</v>
      </c>
      <c r="L18" s="82" t="e">
        <f t="shared" si="4"/>
        <v>#DIV/0!</v>
      </c>
      <c r="M18" s="82" t="e">
        <f t="shared" si="4"/>
        <v>#DIV/0!</v>
      </c>
      <c r="N18" s="82">
        <f t="shared" si="4"/>
        <v>0.52223547047852781</v>
      </c>
    </row>
    <row r="19" spans="1:14" ht="13.8">
      <c r="B19" s="81"/>
      <c r="C19" s="81"/>
      <c r="D19" s="81"/>
      <c r="E19" s="81"/>
      <c r="F19" s="81"/>
      <c r="G19" s="77"/>
      <c r="H19" s="77"/>
      <c r="I19" s="77"/>
      <c r="J19" s="77"/>
      <c r="K19" s="77"/>
      <c r="L19" s="77"/>
      <c r="M19" s="77"/>
      <c r="N19" s="81"/>
    </row>
    <row r="21" spans="1:14">
      <c r="G21" s="11"/>
      <c r="H21" s="11"/>
      <c r="I21" s="11"/>
      <c r="J21" s="11"/>
      <c r="K21" s="11"/>
      <c r="L21" s="11"/>
      <c r="M21" s="11"/>
    </row>
  </sheetData>
  <mergeCells count="2">
    <mergeCell ref="B3:E3"/>
    <mergeCell ref="B4:E4"/>
  </mergeCells>
  <phoneticPr fontId="0" type="noConversion"/>
  <pageMargins left="0.75" right="0.75" top="1.3779527559055118" bottom="1" header="0" footer="0"/>
  <pageSetup paperSize="5" scale="66" orientation="landscape" horizontalDpi="30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BreakPreview" zoomScale="75" zoomScaleNormal="75" workbookViewId="0">
      <selection activeCell="B13" sqref="B13"/>
    </sheetView>
  </sheetViews>
  <sheetFormatPr baseColWidth="10" defaultColWidth="11.44140625" defaultRowHeight="13.2"/>
  <cols>
    <col min="1" max="1" width="28.33203125" customWidth="1"/>
    <col min="2" max="2" width="16.6640625" customWidth="1"/>
    <col min="3" max="3" width="8.109375" customWidth="1"/>
    <col min="4" max="4" width="16.109375" customWidth="1"/>
    <col min="5" max="5" width="8.109375" customWidth="1"/>
    <col min="6" max="6" width="15" customWidth="1"/>
    <col min="7" max="7" width="8.109375" customWidth="1"/>
  </cols>
  <sheetData>
    <row r="1" spans="1:7">
      <c r="A1" s="130" t="s">
        <v>310</v>
      </c>
      <c r="B1" s="130"/>
      <c r="C1" s="130"/>
      <c r="D1" s="130"/>
      <c r="E1" s="130"/>
      <c r="F1" s="130"/>
      <c r="G1" s="130"/>
    </row>
    <row r="2" spans="1:7">
      <c r="A2" s="46"/>
      <c r="B2" s="46"/>
      <c r="C2" s="46"/>
      <c r="D2" s="47"/>
      <c r="E2" s="47"/>
      <c r="F2" s="47"/>
      <c r="G2" s="47"/>
    </row>
    <row r="3" spans="1:7">
      <c r="A3" s="130" t="s">
        <v>311</v>
      </c>
      <c r="B3" s="130"/>
      <c r="C3" s="130"/>
      <c r="D3" s="130"/>
      <c r="E3" s="130"/>
      <c r="F3" s="130"/>
      <c r="G3" s="130"/>
    </row>
    <row r="4" spans="1:7">
      <c r="A4" s="131" t="s">
        <v>312</v>
      </c>
      <c r="B4" s="131"/>
      <c r="C4" s="131"/>
      <c r="D4" s="131"/>
      <c r="E4" s="131"/>
      <c r="F4" s="131"/>
      <c r="G4" s="131"/>
    </row>
    <row r="5" spans="1:7">
      <c r="A5" s="131" t="s">
        <v>313</v>
      </c>
      <c r="B5" s="131"/>
      <c r="C5" s="131"/>
      <c r="D5" s="131"/>
      <c r="E5" s="131"/>
      <c r="F5" s="131"/>
      <c r="G5" s="131"/>
    </row>
    <row r="6" spans="1:7">
      <c r="A6" s="48"/>
      <c r="B6" s="48"/>
      <c r="C6" s="48"/>
      <c r="D6" s="48"/>
      <c r="E6" s="48"/>
      <c r="F6" s="48"/>
      <c r="G6" s="48"/>
    </row>
    <row r="7" spans="1:7">
      <c r="A7" s="48"/>
      <c r="B7" s="48"/>
      <c r="C7" s="48"/>
      <c r="D7" s="48"/>
      <c r="E7" s="48"/>
      <c r="F7" s="48"/>
      <c r="G7" s="48"/>
    </row>
    <row r="8" spans="1:7" ht="13.8" thickBot="1">
      <c r="B8" s="65" t="s">
        <v>347</v>
      </c>
      <c r="C8" s="66"/>
      <c r="D8" s="65" t="s">
        <v>348</v>
      </c>
      <c r="E8" s="67"/>
      <c r="F8" s="65" t="s">
        <v>349</v>
      </c>
      <c r="G8" s="68"/>
    </row>
    <row r="9" spans="1:7">
      <c r="A9" s="64" t="s">
        <v>314</v>
      </c>
      <c r="B9" s="50"/>
      <c r="C9" s="46"/>
      <c r="D9" s="50"/>
      <c r="E9" s="46"/>
      <c r="F9" s="50"/>
      <c r="G9" s="51"/>
    </row>
    <row r="10" spans="1:7">
      <c r="A10" s="49" t="s">
        <v>315</v>
      </c>
      <c r="B10" s="52"/>
      <c r="C10" s="57" t="e">
        <f>+B10/$B$10</f>
        <v>#DIV/0!</v>
      </c>
      <c r="D10" s="52"/>
      <c r="E10" s="57" t="e">
        <f>+D10/$D$10</f>
        <v>#DIV/0!</v>
      </c>
      <c r="F10" s="54"/>
      <c r="G10" s="57" t="e">
        <f>+F10/$F$10</f>
        <v>#DIV/0!</v>
      </c>
    </row>
    <row r="11" spans="1:7">
      <c r="A11" s="49"/>
      <c r="B11" s="48"/>
      <c r="C11" s="55"/>
      <c r="D11" s="48"/>
      <c r="E11" s="51"/>
      <c r="F11" s="48"/>
      <c r="G11" s="51"/>
    </row>
    <row r="12" spans="1:7">
      <c r="A12" s="49" t="s">
        <v>316</v>
      </c>
      <c r="B12" s="48"/>
      <c r="C12" s="51"/>
      <c r="D12" s="48"/>
      <c r="E12" s="51"/>
      <c r="F12" s="48"/>
      <c r="G12" s="51"/>
    </row>
    <row r="13" spans="1:7">
      <c r="A13" s="49" t="s">
        <v>66</v>
      </c>
      <c r="B13" s="56"/>
      <c r="C13" s="57" t="e">
        <f t="shared" ref="C13:C18" si="0">+B13/$B$10</f>
        <v>#DIV/0!</v>
      </c>
      <c r="D13" s="56"/>
      <c r="E13" s="57" t="e">
        <f t="shared" ref="E13:E18" si="1">+D13/$D$10</f>
        <v>#DIV/0!</v>
      </c>
      <c r="F13" s="58"/>
      <c r="G13" s="57" t="e">
        <f t="shared" ref="G13:G18" si="2">+F13/$F$10</f>
        <v>#DIV/0!</v>
      </c>
    </row>
    <row r="14" spans="1:7">
      <c r="A14" s="48" t="s">
        <v>317</v>
      </c>
      <c r="B14" s="56"/>
      <c r="C14" s="57" t="e">
        <f t="shared" si="0"/>
        <v>#DIV/0!</v>
      </c>
      <c r="D14" s="56"/>
      <c r="E14" s="57" t="e">
        <f t="shared" si="1"/>
        <v>#DIV/0!</v>
      </c>
      <c r="F14" s="58"/>
      <c r="G14" s="57" t="e">
        <f t="shared" si="2"/>
        <v>#DIV/0!</v>
      </c>
    </row>
    <row r="15" spans="1:7">
      <c r="A15" s="49" t="s">
        <v>318</v>
      </c>
      <c r="B15" s="56"/>
      <c r="C15" s="57" t="e">
        <f t="shared" si="0"/>
        <v>#DIV/0!</v>
      </c>
      <c r="D15" s="56"/>
      <c r="E15" s="57" t="e">
        <f t="shared" si="1"/>
        <v>#DIV/0!</v>
      </c>
      <c r="F15" s="58"/>
      <c r="G15" s="57" t="e">
        <f t="shared" si="2"/>
        <v>#DIV/0!</v>
      </c>
    </row>
    <row r="16" spans="1:7">
      <c r="A16" s="49" t="s">
        <v>319</v>
      </c>
      <c r="B16" s="52"/>
      <c r="C16" s="57" t="e">
        <f t="shared" si="0"/>
        <v>#DIV/0!</v>
      </c>
      <c r="D16" s="52"/>
      <c r="E16" s="57" t="e">
        <f t="shared" si="1"/>
        <v>#DIV/0!</v>
      </c>
      <c r="F16" s="59"/>
      <c r="G16" s="57" t="e">
        <f t="shared" si="2"/>
        <v>#DIV/0!</v>
      </c>
    </row>
    <row r="17" spans="1:7">
      <c r="A17" s="48"/>
      <c r="B17" s="69">
        <f>SUM(B13:B16)</f>
        <v>0</v>
      </c>
      <c r="C17" s="57" t="e">
        <f t="shared" si="0"/>
        <v>#DIV/0!</v>
      </c>
      <c r="D17" s="69">
        <f>SUM(D13:D16)</f>
        <v>0</v>
      </c>
      <c r="E17" s="57" t="e">
        <f t="shared" si="1"/>
        <v>#DIV/0!</v>
      </c>
      <c r="F17" s="69">
        <f>SUM(F13:F16)</f>
        <v>0</v>
      </c>
      <c r="G17" s="57" t="e">
        <f t="shared" si="2"/>
        <v>#DIV/0!</v>
      </c>
    </row>
    <row r="18" spans="1:7">
      <c r="A18" s="49" t="s">
        <v>320</v>
      </c>
      <c r="B18" s="56">
        <f>+B10+B17</f>
        <v>0</v>
      </c>
      <c r="C18" s="57" t="e">
        <f t="shared" si="0"/>
        <v>#DIV/0!</v>
      </c>
      <c r="D18" s="56">
        <f>+D10+D17</f>
        <v>0</v>
      </c>
      <c r="E18" s="57" t="e">
        <f t="shared" si="1"/>
        <v>#DIV/0!</v>
      </c>
      <c r="F18" s="56">
        <f>+F10+F17</f>
        <v>0</v>
      </c>
      <c r="G18" s="57" t="e">
        <f t="shared" si="2"/>
        <v>#DIV/0!</v>
      </c>
    </row>
    <row r="19" spans="1:7">
      <c r="A19" s="49"/>
      <c r="B19" s="56"/>
      <c r="C19" s="57"/>
      <c r="D19" s="56"/>
      <c r="E19" s="57"/>
      <c r="F19" s="58"/>
      <c r="G19" s="51"/>
    </row>
    <row r="20" spans="1:7">
      <c r="A20" s="64" t="s">
        <v>321</v>
      </c>
      <c r="B20" s="56"/>
      <c r="C20" s="57"/>
      <c r="D20" s="56"/>
      <c r="E20" s="57"/>
      <c r="F20" s="58"/>
      <c r="G20" s="51"/>
    </row>
    <row r="21" spans="1:7">
      <c r="A21" s="49" t="s">
        <v>322</v>
      </c>
      <c r="B21" s="56"/>
      <c r="C21" s="57"/>
      <c r="D21" s="56"/>
      <c r="E21" s="57"/>
      <c r="F21" s="58"/>
      <c r="G21" s="51"/>
    </row>
    <row r="22" spans="1:7">
      <c r="A22" s="49" t="s">
        <v>324</v>
      </c>
      <c r="B22" s="56"/>
      <c r="C22" s="57" t="e">
        <f>+B22/$B$10</f>
        <v>#DIV/0!</v>
      </c>
      <c r="D22" s="56"/>
      <c r="E22" s="57" t="e">
        <f>+D22/$D$10</f>
        <v>#DIV/0!</v>
      </c>
      <c r="F22" s="58"/>
      <c r="G22" s="57" t="e">
        <f>+F22/$F$10</f>
        <v>#DIV/0!</v>
      </c>
    </row>
    <row r="23" spans="1:7">
      <c r="A23" s="49" t="s">
        <v>325</v>
      </c>
      <c r="B23" s="56"/>
      <c r="C23" s="57" t="e">
        <f>+B23/$B$10</f>
        <v>#DIV/0!</v>
      </c>
      <c r="D23" s="56"/>
      <c r="E23" s="57" t="e">
        <f>+D23/$D$10</f>
        <v>#DIV/0!</v>
      </c>
      <c r="F23" s="58"/>
      <c r="G23" s="57" t="e">
        <f>+F23/$F$10</f>
        <v>#DIV/0!</v>
      </c>
    </row>
    <row r="24" spans="1:7">
      <c r="A24" s="49" t="s">
        <v>326</v>
      </c>
      <c r="B24" s="52"/>
      <c r="C24" s="53"/>
      <c r="D24" s="52"/>
      <c r="E24" s="57" t="e">
        <f>+D24/$D$10</f>
        <v>#DIV/0!</v>
      </c>
      <c r="F24" s="59"/>
      <c r="G24" s="57" t="e">
        <f>+F24/$F$10</f>
        <v>#DIV/0!</v>
      </c>
    </row>
    <row r="25" spans="1:7">
      <c r="A25" s="49"/>
      <c r="B25" s="56">
        <f>SUM(B22:B24)</f>
        <v>0</v>
      </c>
      <c r="C25" s="57" t="e">
        <f>+B25/$B$10</f>
        <v>#DIV/0!</v>
      </c>
      <c r="D25" s="56">
        <f>SUM(D22:D24)</f>
        <v>0</v>
      </c>
      <c r="E25" s="57" t="e">
        <f>+D25/$D$10</f>
        <v>#DIV/0!</v>
      </c>
      <c r="F25" s="56">
        <f>SUM(F22:F24)</f>
        <v>0</v>
      </c>
      <c r="G25" s="57" t="e">
        <f>+F25/$F$10</f>
        <v>#DIV/0!</v>
      </c>
    </row>
    <row r="26" spans="1:7">
      <c r="A26" s="49"/>
      <c r="B26" s="56"/>
      <c r="C26" s="57"/>
      <c r="D26" s="56"/>
      <c r="E26" s="57"/>
      <c r="F26" s="58"/>
      <c r="G26" s="51"/>
    </row>
    <row r="27" spans="1:7">
      <c r="A27" s="49" t="s">
        <v>327</v>
      </c>
      <c r="B27" s="56"/>
      <c r="C27" s="57"/>
      <c r="D27" s="56"/>
      <c r="E27" s="57"/>
      <c r="F27" s="58"/>
      <c r="G27" s="51"/>
    </row>
    <row r="28" spans="1:7">
      <c r="A28" s="49" t="s">
        <v>328</v>
      </c>
      <c r="B28" s="56"/>
      <c r="C28" s="57" t="e">
        <f>+B28/$B$10</f>
        <v>#DIV/0!</v>
      </c>
      <c r="D28" s="56"/>
      <c r="E28" s="57" t="e">
        <f>+D28/$D$10</f>
        <v>#DIV/0!</v>
      </c>
      <c r="F28" s="58"/>
      <c r="G28" s="57" t="e">
        <f>+F28/$F$10</f>
        <v>#DIV/0!</v>
      </c>
    </row>
    <row r="29" spans="1:7">
      <c r="A29" s="49" t="s">
        <v>174</v>
      </c>
      <c r="B29" s="52"/>
      <c r="C29" s="57" t="e">
        <f>+B29/$B$10</f>
        <v>#DIV/0!</v>
      </c>
      <c r="D29" s="52"/>
      <c r="E29" s="57" t="e">
        <f>+D29/$D$10</f>
        <v>#DIV/0!</v>
      </c>
      <c r="F29" s="59"/>
      <c r="G29" s="57" t="e">
        <f>+F29/$F$10</f>
        <v>#DIV/0!</v>
      </c>
    </row>
    <row r="30" spans="1:7">
      <c r="A30" s="49"/>
      <c r="B30" s="56">
        <f>SUM(B28:B29)</f>
        <v>0</v>
      </c>
      <c r="C30" s="57" t="e">
        <f>+B30/$B$10</f>
        <v>#DIV/0!</v>
      </c>
      <c r="D30" s="56">
        <f>SUM(D28:D29)</f>
        <v>0</v>
      </c>
      <c r="E30" s="57" t="e">
        <f>+D30/$D$10</f>
        <v>#DIV/0!</v>
      </c>
      <c r="F30" s="56">
        <f>SUM(F28:F29)</f>
        <v>0</v>
      </c>
      <c r="G30" s="57" t="e">
        <f>+F30/$F$10</f>
        <v>#DIV/0!</v>
      </c>
    </row>
    <row r="31" spans="1:7">
      <c r="A31" s="49" t="s">
        <v>329</v>
      </c>
      <c r="B31" s="56"/>
      <c r="C31" s="57"/>
      <c r="D31" s="56"/>
      <c r="E31" s="57"/>
      <c r="F31" s="58"/>
      <c r="G31" s="51"/>
    </row>
    <row r="32" spans="1:7">
      <c r="A32" s="49" t="s">
        <v>330</v>
      </c>
      <c r="B32" s="52">
        <f>+B25+B30</f>
        <v>0</v>
      </c>
      <c r="C32" s="57" t="e">
        <f>+B32/$B$10</f>
        <v>#DIV/0!</v>
      </c>
      <c r="D32" s="52">
        <f>+D25+D30</f>
        <v>0</v>
      </c>
      <c r="E32" s="57" t="e">
        <f>+D32/$D$10</f>
        <v>#DIV/0!</v>
      </c>
      <c r="F32" s="52">
        <f>+F25+F30</f>
        <v>0</v>
      </c>
      <c r="G32" s="57" t="e">
        <f>+F32/$F$10</f>
        <v>#DIV/0!</v>
      </c>
    </row>
    <row r="33" spans="1:7">
      <c r="A33" s="49" t="s">
        <v>331</v>
      </c>
      <c r="B33" s="60"/>
      <c r="C33" s="48"/>
      <c r="D33" s="60"/>
      <c r="E33" s="48"/>
      <c r="F33" s="60"/>
      <c r="G33" s="51"/>
    </row>
    <row r="34" spans="1:7">
      <c r="A34" s="49" t="s">
        <v>332</v>
      </c>
      <c r="B34" s="52">
        <f>+B18+B32</f>
        <v>0</v>
      </c>
      <c r="C34" s="57" t="e">
        <f>+B34/$B$10</f>
        <v>#DIV/0!</v>
      </c>
      <c r="D34" s="52">
        <f>+D18+D32</f>
        <v>0</v>
      </c>
      <c r="E34" s="57" t="e">
        <f>+D34/$D$10</f>
        <v>#DIV/0!</v>
      </c>
      <c r="F34" s="52">
        <f>+F18+F32</f>
        <v>0</v>
      </c>
      <c r="G34" s="57" t="e">
        <f>+F34/$F$10</f>
        <v>#DIV/0!</v>
      </c>
    </row>
    <row r="35" spans="1:7">
      <c r="A35" s="48"/>
      <c r="B35" s="60"/>
      <c r="C35" s="48"/>
      <c r="D35" s="60"/>
      <c r="E35" s="48"/>
      <c r="F35" s="60"/>
      <c r="G35" s="51"/>
    </row>
    <row r="36" spans="1:7">
      <c r="A36" s="64" t="s">
        <v>333</v>
      </c>
      <c r="B36" s="56"/>
      <c r="C36" s="57"/>
      <c r="D36" s="56"/>
      <c r="E36" s="57"/>
      <c r="F36" s="48"/>
      <c r="G36" s="51"/>
    </row>
    <row r="37" spans="1:7">
      <c r="A37" s="61" t="s">
        <v>334</v>
      </c>
      <c r="B37" s="56">
        <v>0</v>
      </c>
      <c r="C37" s="57" t="e">
        <f>+B37/$B$10</f>
        <v>#DIV/0!</v>
      </c>
      <c r="D37" s="56"/>
      <c r="E37" s="57" t="e">
        <f>+D37/$D$10</f>
        <v>#DIV/0!</v>
      </c>
      <c r="F37" s="62"/>
      <c r="G37" s="57" t="e">
        <f t="shared" ref="G37:G42" si="3">+F37/$F$10</f>
        <v>#DIV/0!</v>
      </c>
    </row>
    <row r="38" spans="1:7">
      <c r="A38" s="61" t="s">
        <v>335</v>
      </c>
      <c r="B38" s="56"/>
      <c r="C38" s="57" t="e">
        <f>+B38/$B$10</f>
        <v>#DIV/0!</v>
      </c>
      <c r="D38" s="56"/>
      <c r="E38" s="57" t="e">
        <f>+D38/$D$10</f>
        <v>#DIV/0!</v>
      </c>
      <c r="F38" s="62"/>
      <c r="G38" s="57" t="e">
        <f t="shared" si="3"/>
        <v>#DIV/0!</v>
      </c>
    </row>
    <row r="39" spans="1:7">
      <c r="A39" s="49" t="s">
        <v>336</v>
      </c>
      <c r="B39" s="63"/>
      <c r="C39" s="57" t="e">
        <f>+B39/$B$10</f>
        <v>#DIV/0!</v>
      </c>
      <c r="D39" s="63"/>
      <c r="E39" s="57" t="e">
        <f>+D39/$D$10</f>
        <v>#DIV/0!</v>
      </c>
      <c r="F39" s="63"/>
      <c r="G39" s="57" t="e">
        <f t="shared" si="3"/>
        <v>#DIV/0!</v>
      </c>
    </row>
    <row r="40" spans="1:7">
      <c r="A40" s="49" t="s">
        <v>337</v>
      </c>
      <c r="B40" s="63"/>
      <c r="C40" s="57"/>
      <c r="D40" s="63"/>
      <c r="E40" s="57"/>
      <c r="F40" s="63"/>
      <c r="G40" s="57" t="e">
        <f t="shared" si="3"/>
        <v>#DIV/0!</v>
      </c>
    </row>
    <row r="41" spans="1:7">
      <c r="A41" s="48" t="s">
        <v>338</v>
      </c>
      <c r="B41" s="52"/>
      <c r="C41" s="57" t="e">
        <f>+B41/$B$10</f>
        <v>#DIV/0!</v>
      </c>
      <c r="D41" s="52"/>
      <c r="E41" s="57" t="e">
        <f>+D41/$D$10</f>
        <v>#DIV/0!</v>
      </c>
      <c r="F41" s="52"/>
      <c r="G41" s="57" t="e">
        <f t="shared" si="3"/>
        <v>#DIV/0!</v>
      </c>
    </row>
    <row r="42" spans="1:7">
      <c r="A42" s="49" t="s">
        <v>346</v>
      </c>
      <c r="B42" s="52">
        <f>SUM(B37:B41)</f>
        <v>0</v>
      </c>
      <c r="C42" s="57" t="e">
        <f>+B42/$B$10</f>
        <v>#DIV/0!</v>
      </c>
      <c r="D42" s="52">
        <f>SUM(D37:D41)</f>
        <v>0</v>
      </c>
      <c r="E42" s="57" t="e">
        <f>+D42/$D$10</f>
        <v>#DIV/0!</v>
      </c>
      <c r="F42" s="52">
        <f>SUM(F37:F41)</f>
        <v>0</v>
      </c>
      <c r="G42" s="57" t="e">
        <f t="shared" si="3"/>
        <v>#DIV/0!</v>
      </c>
    </row>
    <row r="43" spans="1:7">
      <c r="A43" s="48"/>
      <c r="B43" s="60"/>
      <c r="C43" s="48"/>
      <c r="D43" s="60"/>
      <c r="E43" s="48"/>
      <c r="F43" s="63"/>
      <c r="G43" s="51"/>
    </row>
    <row r="44" spans="1:7">
      <c r="A44" s="64" t="s">
        <v>339</v>
      </c>
      <c r="B44" s="56"/>
      <c r="C44" s="57"/>
      <c r="D44" s="56"/>
      <c r="E44" s="57"/>
      <c r="F44" s="48"/>
      <c r="G44" s="51"/>
    </row>
    <row r="45" spans="1:7">
      <c r="A45" s="49" t="s">
        <v>323</v>
      </c>
      <c r="B45" s="56"/>
      <c r="C45" s="57"/>
      <c r="D45" s="56"/>
      <c r="E45" s="57"/>
      <c r="F45" s="58"/>
      <c r="G45" s="57" t="e">
        <f>+F45/$F$10</f>
        <v>#DIV/0!</v>
      </c>
    </row>
    <row r="46" spans="1:7">
      <c r="A46" s="49" t="s">
        <v>340</v>
      </c>
      <c r="B46" s="56"/>
      <c r="C46" s="57" t="e">
        <f>+B46/$B$10</f>
        <v>#DIV/0!</v>
      </c>
      <c r="D46" s="56"/>
      <c r="E46" s="57" t="e">
        <f>+D46/$D$10</f>
        <v>#DIV/0!</v>
      </c>
      <c r="F46" s="56"/>
      <c r="G46" s="57" t="e">
        <f>+F46/$F$10</f>
        <v>#DIV/0!</v>
      </c>
    </row>
    <row r="47" spans="1:7">
      <c r="A47" s="49" t="s">
        <v>341</v>
      </c>
      <c r="B47" s="52"/>
      <c r="C47" s="57" t="e">
        <f>+B47/$B$10</f>
        <v>#DIV/0!</v>
      </c>
      <c r="D47" s="52"/>
      <c r="E47" s="57" t="e">
        <f>+D47/$D$10</f>
        <v>#DIV/0!</v>
      </c>
      <c r="F47" s="52"/>
      <c r="G47" s="57" t="e">
        <f>+F47/$F$10</f>
        <v>#DIV/0!</v>
      </c>
    </row>
    <row r="48" spans="1:7">
      <c r="A48" s="49" t="s">
        <v>342</v>
      </c>
      <c r="B48" s="69">
        <f>SUM(B45:B47)</f>
        <v>0</v>
      </c>
      <c r="C48" s="57" t="e">
        <f>+B48/$B$10</f>
        <v>#DIV/0!</v>
      </c>
      <c r="D48" s="69">
        <f>SUM(D45:D47)</f>
        <v>0</v>
      </c>
      <c r="E48" s="57" t="e">
        <f>+D48/$D$10</f>
        <v>#DIV/0!</v>
      </c>
      <c r="F48" s="69">
        <f>SUM(F45:F47)</f>
        <v>0</v>
      </c>
      <c r="G48" s="57" t="e">
        <f>+F48/$F$10</f>
        <v>#DIV/0!</v>
      </c>
    </row>
    <row r="49" spans="1:7">
      <c r="A49" s="48"/>
      <c r="B49" s="60"/>
      <c r="C49" s="48"/>
      <c r="D49" s="60"/>
      <c r="E49" s="48"/>
      <c r="F49" s="60"/>
      <c r="G49" s="51"/>
    </row>
    <row r="50" spans="1:7">
      <c r="A50" s="49" t="s">
        <v>343</v>
      </c>
      <c r="B50" s="56">
        <f>+B34+B42+B48</f>
        <v>0</v>
      </c>
      <c r="C50" s="57" t="e">
        <f>+B50/$B$10</f>
        <v>#DIV/0!</v>
      </c>
      <c r="D50" s="56">
        <f>+D34+D42+D48</f>
        <v>0</v>
      </c>
      <c r="E50" s="57" t="e">
        <f>+D50/$D$10</f>
        <v>#DIV/0!</v>
      </c>
      <c r="F50" s="56">
        <f>+F34+F42+F48</f>
        <v>0</v>
      </c>
      <c r="G50" s="57" t="e">
        <f>+F50/$F$10</f>
        <v>#DIV/0!</v>
      </c>
    </row>
    <row r="51" spans="1:7">
      <c r="A51" s="49" t="s">
        <v>344</v>
      </c>
      <c r="B51" s="52"/>
      <c r="C51" s="57" t="e">
        <f>+B51/B10</f>
        <v>#DIV/0!</v>
      </c>
      <c r="D51" s="56"/>
      <c r="E51" s="57" t="e">
        <f>+D51/$D$10</f>
        <v>#DIV/0!</v>
      </c>
      <c r="F51" s="62"/>
      <c r="G51" s="57" t="e">
        <f>+F51/$F$10</f>
        <v>#DIV/0!</v>
      </c>
    </row>
    <row r="52" spans="1:7" ht="13.8" thickBot="1">
      <c r="A52" s="49" t="s">
        <v>345</v>
      </c>
      <c r="B52" s="70">
        <f>SUM(B50:B51)</f>
        <v>0</v>
      </c>
      <c r="C52" s="57" t="e">
        <f>+B52/B10</f>
        <v>#DIV/0!</v>
      </c>
      <c r="D52" s="70">
        <f>SUM(D50:D51)</f>
        <v>0</v>
      </c>
      <c r="E52" s="57" t="e">
        <f>+D52/$D$10</f>
        <v>#DIV/0!</v>
      </c>
      <c r="F52" s="70">
        <f>SUM(F50:F51)</f>
        <v>0</v>
      </c>
      <c r="G52" s="57" t="e">
        <f>+F52/$F$10</f>
        <v>#DIV/0!</v>
      </c>
    </row>
    <row r="53" spans="1:7" ht="13.8" thickTop="1">
      <c r="A53" s="48"/>
      <c r="B53" s="60"/>
      <c r="C53" s="48"/>
      <c r="D53" s="60"/>
      <c r="E53" s="48"/>
      <c r="F53" s="60"/>
      <c r="G53" s="51"/>
    </row>
  </sheetData>
  <mergeCells count="4">
    <mergeCell ref="A1:G1"/>
    <mergeCell ref="A3:G3"/>
    <mergeCell ref="A4:G4"/>
    <mergeCell ref="A5:G5"/>
  </mergeCells>
  <phoneticPr fontId="0" type="noConversion"/>
  <pageMargins left="0.75" right="0.75" top="1" bottom="1" header="0" footer="0"/>
  <pageSetup orientation="portrait" horizontalDpi="30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55"/>
  <sheetViews>
    <sheetView view="pageBreakPreview" zoomScale="60" zoomScaleNormal="100" workbookViewId="0">
      <selection activeCell="A4" sqref="A4:G4"/>
    </sheetView>
  </sheetViews>
  <sheetFormatPr baseColWidth="10" defaultColWidth="11.44140625" defaultRowHeight="13.2"/>
  <cols>
    <col min="1" max="1" width="44.109375" customWidth="1"/>
    <col min="2" max="2" width="20.33203125" customWidth="1"/>
    <col min="3" max="3" width="19.6640625" customWidth="1"/>
    <col min="4" max="4" width="19" customWidth="1"/>
    <col min="5" max="5" width="12.33203125" customWidth="1"/>
    <col min="6" max="6" width="11.44140625" customWidth="1"/>
    <col min="7" max="7" width="13.44140625" customWidth="1"/>
  </cols>
  <sheetData>
    <row r="3" spans="1:7" ht="22.8">
      <c r="A3" s="132" t="s">
        <v>370</v>
      </c>
      <c r="B3" s="132"/>
      <c r="C3" s="132"/>
      <c r="D3" s="132"/>
      <c r="E3" s="132"/>
      <c r="F3" s="132"/>
      <c r="G3" s="132"/>
    </row>
    <row r="4" spans="1:7" ht="22.8">
      <c r="A4" s="132" t="s">
        <v>114</v>
      </c>
      <c r="B4" s="132"/>
      <c r="C4" s="132"/>
      <c r="D4" s="132"/>
      <c r="E4" s="132"/>
      <c r="F4" s="132"/>
      <c r="G4" s="132"/>
    </row>
    <row r="6" spans="1:7">
      <c r="A6" s="2" t="s">
        <v>148</v>
      </c>
      <c r="B6" s="3" t="s">
        <v>353</v>
      </c>
      <c r="C6" s="3" t="s">
        <v>353</v>
      </c>
      <c r="D6" s="3" t="s">
        <v>110</v>
      </c>
      <c r="E6" s="3" t="s">
        <v>111</v>
      </c>
      <c r="F6" s="3" t="s">
        <v>113</v>
      </c>
      <c r="G6" s="4" t="s">
        <v>113</v>
      </c>
    </row>
    <row r="7" spans="1:7">
      <c r="A7" s="5"/>
      <c r="B7" s="6">
        <v>2000</v>
      </c>
      <c r="C7" s="6">
        <v>1999</v>
      </c>
      <c r="D7" s="6"/>
      <c r="E7" s="6" t="s">
        <v>112</v>
      </c>
      <c r="F7" s="7">
        <v>36800</v>
      </c>
      <c r="G7" s="8">
        <v>36434</v>
      </c>
    </row>
    <row r="9" spans="1:7">
      <c r="A9" t="s">
        <v>0</v>
      </c>
    </row>
    <row r="11" spans="1:7">
      <c r="A11" s="9" t="s">
        <v>1</v>
      </c>
    </row>
    <row r="12" spans="1:7">
      <c r="A12" s="9"/>
    </row>
    <row r="13" spans="1:7">
      <c r="A13" s="9" t="s">
        <v>2</v>
      </c>
    </row>
    <row r="14" spans="1:7">
      <c r="A14" t="s">
        <v>3</v>
      </c>
      <c r="B14" s="11">
        <v>1560000</v>
      </c>
      <c r="C14" s="11">
        <v>4658147</v>
      </c>
      <c r="D14" s="11">
        <f>+B14-C14</f>
        <v>-3098147</v>
      </c>
      <c r="E14" s="10">
        <f>+D14/C14*100</f>
        <v>-66.510288318509481</v>
      </c>
      <c r="F14" s="10">
        <f>+B14/$B$87*100</f>
        <v>9.4375298705825662E-3</v>
      </c>
      <c r="G14" s="10">
        <f>+C14/$C$87*100</f>
        <v>2.6541174889420083E-2</v>
      </c>
    </row>
    <row r="15" spans="1:7">
      <c r="A15" t="s">
        <v>4</v>
      </c>
      <c r="B15" s="11">
        <v>1255480825.46</v>
      </c>
      <c r="C15" s="11">
        <v>182686046.84</v>
      </c>
      <c r="D15" s="11">
        <f t="shared" ref="D15:D75" si="0">+B15-C15</f>
        <v>1072794778.62</v>
      </c>
      <c r="E15" s="10">
        <f>+D15/C15*100</f>
        <v>587.23410855760346</v>
      </c>
      <c r="F15" s="10">
        <f t="shared" ref="F15:F75" si="1">+B15/$B$87*100</f>
        <v>7.5952806360400054</v>
      </c>
      <c r="G15" s="10">
        <f t="shared" ref="G15:G75" si="2">+C15/$C$87*100</f>
        <v>1.0409079659867388</v>
      </c>
    </row>
    <row r="16" spans="1:7">
      <c r="A16" t="s">
        <v>5</v>
      </c>
      <c r="B16" s="11">
        <v>217297150.5</v>
      </c>
      <c r="C16" s="11">
        <v>2969508.32</v>
      </c>
      <c r="D16" s="11">
        <f t="shared" si="0"/>
        <v>214327642.18000001</v>
      </c>
      <c r="E16" s="10">
        <f>+D16/C16*100</f>
        <v>7217.6137960778651</v>
      </c>
      <c r="F16" s="10">
        <f t="shared" si="1"/>
        <v>1.3145822747668112</v>
      </c>
      <c r="G16" s="10">
        <f t="shared" si="2"/>
        <v>1.6919654887814408E-2</v>
      </c>
    </row>
    <row r="17" spans="1:7">
      <c r="A17" t="s">
        <v>6</v>
      </c>
      <c r="B17" s="13">
        <f>SUM(B14:B16)</f>
        <v>1474337975.96</v>
      </c>
      <c r="C17" s="13">
        <f>SUM(C14:C16)</f>
        <v>190313702.16</v>
      </c>
      <c r="D17" s="13">
        <f t="shared" si="0"/>
        <v>1284024273.8</v>
      </c>
      <c r="E17" s="10">
        <f>+D17/C17*100</f>
        <v>674.68829581198452</v>
      </c>
      <c r="F17" s="10">
        <f t="shared" si="1"/>
        <v>8.9193004406773984</v>
      </c>
      <c r="G17" s="10">
        <f t="shared" si="2"/>
        <v>1.0843687957639732</v>
      </c>
    </row>
    <row r="18" spans="1:7">
      <c r="B18" s="11"/>
      <c r="C18" s="11"/>
      <c r="D18" s="11"/>
      <c r="E18" s="10"/>
      <c r="F18" s="10"/>
      <c r="G18" s="10"/>
    </row>
    <row r="19" spans="1:7">
      <c r="A19" t="s">
        <v>7</v>
      </c>
      <c r="B19" s="11"/>
      <c r="C19" s="11"/>
      <c r="D19" s="11"/>
      <c r="E19" s="10"/>
      <c r="F19" s="10"/>
      <c r="G19" s="10"/>
    </row>
    <row r="20" spans="1:7">
      <c r="A20" t="s">
        <v>8</v>
      </c>
      <c r="B20" s="11">
        <v>3548757624.75</v>
      </c>
      <c r="C20" s="11">
        <v>3558053406</v>
      </c>
      <c r="D20" s="11">
        <f t="shared" si="0"/>
        <v>-9295781.25</v>
      </c>
      <c r="E20" s="10">
        <f>+D20/C20*100</f>
        <v>-0.26126030695110936</v>
      </c>
      <c r="F20" s="10">
        <f t="shared" si="1"/>
        <v>21.468914158356259</v>
      </c>
      <c r="G20" s="10">
        <f t="shared" si="2"/>
        <v>20.273065172598205</v>
      </c>
    </row>
    <row r="21" spans="1:7">
      <c r="A21" t="s">
        <v>9</v>
      </c>
      <c r="B21" s="11">
        <v>0</v>
      </c>
      <c r="C21" s="11">
        <v>0</v>
      </c>
      <c r="D21" s="11">
        <f t="shared" si="0"/>
        <v>0</v>
      </c>
      <c r="E21" s="10" t="e">
        <f>+D21/C21*100</f>
        <v>#DIV/0!</v>
      </c>
      <c r="F21" s="10">
        <f t="shared" si="1"/>
        <v>0</v>
      </c>
      <c r="G21" s="10">
        <f t="shared" si="2"/>
        <v>0</v>
      </c>
    </row>
    <row r="22" spans="1:7">
      <c r="A22" t="s">
        <v>10</v>
      </c>
      <c r="B22" s="12">
        <v>3453311.2</v>
      </c>
      <c r="C22" s="12">
        <v>267721704.03999999</v>
      </c>
      <c r="D22" s="11">
        <f t="shared" si="0"/>
        <v>-264268392.84</v>
      </c>
      <c r="E22" s="10">
        <f>+D22/C22*100</f>
        <v>-98.710111601753425</v>
      </c>
      <c r="F22" s="10">
        <f t="shared" si="1"/>
        <v>2.0891492052831622E-2</v>
      </c>
      <c r="G22" s="10">
        <f t="shared" si="2"/>
        <v>1.5254238581605957</v>
      </c>
    </row>
    <row r="23" spans="1:7">
      <c r="A23" t="s">
        <v>11</v>
      </c>
      <c r="B23" s="13">
        <f>SUM(B20:B22)</f>
        <v>3552210935.9499998</v>
      </c>
      <c r="C23" s="13">
        <f>SUM(C20:C22)</f>
        <v>3825775110.04</v>
      </c>
      <c r="D23" s="13">
        <f t="shared" si="0"/>
        <v>-273564174.09000015</v>
      </c>
      <c r="E23" s="10">
        <f>+D23/C23*100</f>
        <v>-7.150555540289977</v>
      </c>
      <c r="F23" s="10">
        <f t="shared" si="1"/>
        <v>21.489805650409089</v>
      </c>
      <c r="G23" s="10">
        <f t="shared" si="2"/>
        <v>21.798489030758798</v>
      </c>
    </row>
    <row r="24" spans="1:7">
      <c r="B24" s="11"/>
      <c r="C24" s="11"/>
      <c r="D24" s="11"/>
      <c r="E24" s="10"/>
      <c r="F24" s="10"/>
      <c r="G24" s="10"/>
    </row>
    <row r="25" spans="1:7">
      <c r="A25" t="s">
        <v>12</v>
      </c>
      <c r="B25" s="11"/>
      <c r="C25" s="11"/>
      <c r="D25" s="11"/>
      <c r="E25" s="10"/>
      <c r="F25" s="10"/>
      <c r="G25" s="10"/>
    </row>
    <row r="26" spans="1:7">
      <c r="A26" t="s">
        <v>13</v>
      </c>
      <c r="B26" s="11">
        <v>2359363012</v>
      </c>
      <c r="C26" s="11">
        <v>2355142806.9200001</v>
      </c>
      <c r="D26" s="11">
        <f t="shared" si="0"/>
        <v>4220205.0799999237</v>
      </c>
      <c r="E26" s="10">
        <f t="shared" ref="E26:E35" si="3">+D26/C26*100</f>
        <v>0.17919104810119807</v>
      </c>
      <c r="F26" s="10">
        <f t="shared" si="1"/>
        <v>14.273435193139521</v>
      </c>
      <c r="G26" s="10">
        <f t="shared" si="2"/>
        <v>13.419125057243459</v>
      </c>
    </row>
    <row r="27" spans="1:7">
      <c r="A27" t="s">
        <v>14</v>
      </c>
      <c r="B27" s="11">
        <v>0</v>
      </c>
      <c r="C27" s="11">
        <v>30421200</v>
      </c>
      <c r="D27" s="11">
        <f t="shared" si="0"/>
        <v>-30421200</v>
      </c>
      <c r="E27" s="10">
        <f t="shared" si="3"/>
        <v>-100</v>
      </c>
      <c r="F27" s="10">
        <f t="shared" si="1"/>
        <v>0</v>
      </c>
      <c r="G27" s="10">
        <f t="shared" si="2"/>
        <v>0.17333381482937879</v>
      </c>
    </row>
    <row r="28" spans="1:7">
      <c r="A28" t="s">
        <v>15</v>
      </c>
      <c r="B28" s="11">
        <v>8328642</v>
      </c>
      <c r="C28" s="11">
        <v>10402651</v>
      </c>
      <c r="D28" s="11">
        <f t="shared" si="0"/>
        <v>-2074009</v>
      </c>
      <c r="E28" s="10">
        <f t="shared" si="3"/>
        <v>-19.937312133224502</v>
      </c>
      <c r="F28" s="10">
        <f t="shared" si="1"/>
        <v>5.0385774138710593E-2</v>
      </c>
      <c r="G28" s="10">
        <f t="shared" si="2"/>
        <v>5.9272191174860038E-2</v>
      </c>
    </row>
    <row r="29" spans="1:7">
      <c r="A29" t="s">
        <v>16</v>
      </c>
      <c r="B29" s="11">
        <v>0</v>
      </c>
      <c r="C29" s="11">
        <v>78317666</v>
      </c>
      <c r="D29" s="11">
        <f t="shared" si="0"/>
        <v>-78317666</v>
      </c>
      <c r="E29" s="10">
        <f t="shared" si="3"/>
        <v>-100</v>
      </c>
      <c r="F29" s="10">
        <f t="shared" si="1"/>
        <v>0</v>
      </c>
      <c r="G29" s="10">
        <f t="shared" si="2"/>
        <v>0.44623814367326514</v>
      </c>
    </row>
    <row r="30" spans="1:7">
      <c r="A30" t="s">
        <v>17</v>
      </c>
      <c r="B30" s="11">
        <v>228175480</v>
      </c>
      <c r="C30" s="11">
        <v>195013967.22</v>
      </c>
      <c r="D30" s="11">
        <f t="shared" si="0"/>
        <v>33161512.780000001</v>
      </c>
      <c r="E30" s="10">
        <f t="shared" si="3"/>
        <v>17.004685999023696</v>
      </c>
      <c r="F30" s="10">
        <f t="shared" si="1"/>
        <v>1.3803928898939199</v>
      </c>
      <c r="G30" s="10">
        <f t="shared" si="2"/>
        <v>1.1111499507992462</v>
      </c>
    </row>
    <row r="31" spans="1:7">
      <c r="A31" t="s">
        <v>18</v>
      </c>
      <c r="B31" s="11">
        <v>335219365.50999999</v>
      </c>
      <c r="C31" s="11">
        <v>222522147.72999999</v>
      </c>
      <c r="D31" s="11">
        <f t="shared" si="0"/>
        <v>112697217.78</v>
      </c>
      <c r="E31" s="10">
        <f t="shared" si="3"/>
        <v>50.645393696605232</v>
      </c>
      <c r="F31" s="10">
        <f t="shared" si="1"/>
        <v>2.0279761379476668</v>
      </c>
      <c r="G31" s="10">
        <f t="shared" si="2"/>
        <v>1.267885972613424</v>
      </c>
    </row>
    <row r="32" spans="1:7">
      <c r="A32" t="s">
        <v>19</v>
      </c>
      <c r="B32" s="11">
        <v>48179703</v>
      </c>
      <c r="C32" s="11">
        <v>39783534</v>
      </c>
      <c r="D32" s="11">
        <f t="shared" si="0"/>
        <v>8396169</v>
      </c>
      <c r="E32" s="10">
        <f t="shared" si="3"/>
        <v>21.104633389281101</v>
      </c>
      <c r="F32" s="10">
        <f t="shared" si="1"/>
        <v>0.29147268347326694</v>
      </c>
      <c r="G32" s="10">
        <f t="shared" si="2"/>
        <v>0.22667849117110092</v>
      </c>
    </row>
    <row r="33" spans="1:7">
      <c r="A33" t="s">
        <v>20</v>
      </c>
      <c r="B33" s="11">
        <v>112693779</v>
      </c>
      <c r="C33" s="11">
        <v>67573415</v>
      </c>
      <c r="D33" s="11">
        <f t="shared" si="0"/>
        <v>45120364</v>
      </c>
      <c r="E33" s="10">
        <f t="shared" si="3"/>
        <v>66.772360106411668</v>
      </c>
      <c r="F33" s="10">
        <f t="shared" si="1"/>
        <v>0.68176340098803223</v>
      </c>
      <c r="G33" s="10">
        <f t="shared" si="2"/>
        <v>0.38501958512480661</v>
      </c>
    </row>
    <row r="34" spans="1:7">
      <c r="A34" t="s">
        <v>21</v>
      </c>
      <c r="B34" s="11">
        <v>0</v>
      </c>
      <c r="C34" s="11">
        <v>-32092000</v>
      </c>
      <c r="D34" s="11">
        <f t="shared" si="0"/>
        <v>32092000</v>
      </c>
      <c r="E34" s="10">
        <f t="shared" si="3"/>
        <v>-100</v>
      </c>
      <c r="F34" s="10">
        <f t="shared" si="1"/>
        <v>0</v>
      </c>
      <c r="G34" s="10">
        <f t="shared" si="2"/>
        <v>-0.18285369365785781</v>
      </c>
    </row>
    <row r="35" spans="1:7">
      <c r="A35" t="s">
        <v>22</v>
      </c>
      <c r="B35" s="13">
        <f>SUM(B26:B34)</f>
        <v>3091959981.5100002</v>
      </c>
      <c r="C35" s="13">
        <f>SUM(C26:C34)</f>
        <v>2967085387.8699999</v>
      </c>
      <c r="D35" s="13">
        <f t="shared" si="0"/>
        <v>124874593.64000034</v>
      </c>
      <c r="E35" s="10">
        <f t="shared" si="3"/>
        <v>4.2086619465186628</v>
      </c>
      <c r="F35" s="10">
        <f t="shared" si="1"/>
        <v>18.70542607958112</v>
      </c>
      <c r="G35" s="10">
        <f t="shared" si="2"/>
        <v>16.905849512971681</v>
      </c>
    </row>
    <row r="36" spans="1:7">
      <c r="B36" s="11"/>
      <c r="C36" s="11"/>
      <c r="D36" s="11"/>
      <c r="E36" s="10"/>
      <c r="F36" s="10"/>
      <c r="G36" s="10"/>
    </row>
    <row r="37" spans="1:7">
      <c r="A37" t="s">
        <v>23</v>
      </c>
      <c r="B37" s="11"/>
      <c r="C37" s="11"/>
      <c r="D37" s="11"/>
      <c r="E37" s="10"/>
      <c r="F37" s="10"/>
      <c r="G37" s="10"/>
    </row>
    <row r="38" spans="1:7">
      <c r="A38" t="s">
        <v>24</v>
      </c>
      <c r="B38" s="11">
        <v>312058300.45999998</v>
      </c>
      <c r="C38" s="11">
        <v>594381197</v>
      </c>
      <c r="D38" s="11">
        <f t="shared" si="0"/>
        <v>-282322896.54000002</v>
      </c>
      <c r="E38" s="10">
        <f t="shared" ref="E38:E45" si="4">+D38/C38*100</f>
        <v>-47.498625118856182</v>
      </c>
      <c r="F38" s="10">
        <f t="shared" si="1"/>
        <v>1.8878586743297943</v>
      </c>
      <c r="G38" s="10">
        <f t="shared" si="2"/>
        <v>3.3866632591371322</v>
      </c>
    </row>
    <row r="39" spans="1:7">
      <c r="A39" t="s">
        <v>25</v>
      </c>
      <c r="B39" s="11">
        <v>0</v>
      </c>
      <c r="C39" s="11">
        <v>0</v>
      </c>
      <c r="D39" s="11">
        <f t="shared" si="0"/>
        <v>0</v>
      </c>
      <c r="E39" s="10" t="e">
        <f t="shared" si="4"/>
        <v>#DIV/0!</v>
      </c>
      <c r="F39" s="10">
        <f t="shared" si="1"/>
        <v>0</v>
      </c>
      <c r="G39" s="10">
        <f t="shared" si="2"/>
        <v>0</v>
      </c>
    </row>
    <row r="40" spans="1:7">
      <c r="A40" t="s">
        <v>26</v>
      </c>
      <c r="B40" s="11">
        <v>100201855.81999999</v>
      </c>
      <c r="C40" s="11">
        <v>225617244.16999999</v>
      </c>
      <c r="D40" s="11">
        <f t="shared" si="0"/>
        <v>-125415388.34999999</v>
      </c>
      <c r="E40" s="10">
        <f t="shared" si="4"/>
        <v>-55.587678508962256</v>
      </c>
      <c r="F40" s="10">
        <f t="shared" si="1"/>
        <v>0.60619103037760103</v>
      </c>
      <c r="G40" s="10">
        <f t="shared" si="2"/>
        <v>1.2855212030846095</v>
      </c>
    </row>
    <row r="41" spans="1:7">
      <c r="A41" t="s">
        <v>27</v>
      </c>
      <c r="B41" s="11">
        <v>17091504.870000001</v>
      </c>
      <c r="C41" s="11">
        <v>18459811</v>
      </c>
      <c r="D41" s="11">
        <f t="shared" si="0"/>
        <v>-1368306.129999999</v>
      </c>
      <c r="E41" s="10">
        <f t="shared" si="4"/>
        <v>-7.4123517841000588</v>
      </c>
      <c r="F41" s="10">
        <f t="shared" si="1"/>
        <v>0.10339845368194385</v>
      </c>
      <c r="G41" s="10">
        <f t="shared" si="2"/>
        <v>0.10518025132668435</v>
      </c>
    </row>
    <row r="42" spans="1:7">
      <c r="A42" t="s">
        <v>28</v>
      </c>
      <c r="B42" s="11">
        <v>29146057.66</v>
      </c>
      <c r="C42" s="11">
        <v>7697200.2699999996</v>
      </c>
      <c r="D42" s="11">
        <f t="shared" si="0"/>
        <v>21448857.390000001</v>
      </c>
      <c r="E42" s="10">
        <f t="shared" si="4"/>
        <v>278.65790985843739</v>
      </c>
      <c r="F42" s="10">
        <f t="shared" si="1"/>
        <v>0.1763248652410076</v>
      </c>
      <c r="G42" s="10">
        <f t="shared" si="2"/>
        <v>4.3857082768096731E-2</v>
      </c>
    </row>
    <row r="43" spans="1:7">
      <c r="A43" t="s">
        <v>29</v>
      </c>
      <c r="B43" s="11">
        <v>36067512</v>
      </c>
      <c r="C43" s="11">
        <v>21500</v>
      </c>
      <c r="D43" s="11">
        <f t="shared" si="0"/>
        <v>36046012</v>
      </c>
      <c r="E43" s="10">
        <f t="shared" si="4"/>
        <v>167655.86976744188</v>
      </c>
      <c r="F43" s="10">
        <f t="shared" si="1"/>
        <v>0.21819757811384305</v>
      </c>
      <c r="G43" s="10">
        <f t="shared" si="2"/>
        <v>1.225026303640765E-4</v>
      </c>
    </row>
    <row r="44" spans="1:7">
      <c r="A44" t="s">
        <v>30</v>
      </c>
      <c r="B44" s="12">
        <v>0</v>
      </c>
      <c r="C44" s="12">
        <v>20262289</v>
      </c>
      <c r="D44" s="11">
        <f t="shared" si="0"/>
        <v>-20262289</v>
      </c>
      <c r="E44" s="10">
        <f t="shared" si="4"/>
        <v>-100</v>
      </c>
      <c r="F44" s="10">
        <f t="shared" si="1"/>
        <v>0</v>
      </c>
      <c r="G44" s="10">
        <f t="shared" si="2"/>
        <v>0.11545040463707409</v>
      </c>
    </row>
    <row r="45" spans="1:7">
      <c r="A45" t="s">
        <v>31</v>
      </c>
      <c r="B45" s="13">
        <f>SUM(B38:B44)</f>
        <v>494565230.81</v>
      </c>
      <c r="C45" s="13">
        <f>SUM(C38:C44)</f>
        <v>866439241.43999994</v>
      </c>
      <c r="D45" s="13">
        <f t="shared" si="0"/>
        <v>-371874010.62999994</v>
      </c>
      <c r="E45" s="10">
        <f t="shared" si="4"/>
        <v>-42.919802433227147</v>
      </c>
      <c r="F45" s="10">
        <f t="shared" si="1"/>
        <v>2.9919706017441898</v>
      </c>
      <c r="G45" s="10">
        <f t="shared" si="2"/>
        <v>4.9367947035839608</v>
      </c>
    </row>
    <row r="46" spans="1:7">
      <c r="B46" s="11"/>
      <c r="C46" s="11"/>
      <c r="D46" s="11"/>
      <c r="E46" s="10"/>
      <c r="F46" s="10"/>
      <c r="G46" s="10"/>
    </row>
    <row r="47" spans="1:7">
      <c r="A47" t="s">
        <v>32</v>
      </c>
      <c r="B47" s="11"/>
      <c r="C47" s="11"/>
      <c r="D47" s="11"/>
      <c r="E47" s="10"/>
      <c r="F47" s="10"/>
      <c r="G47" s="10"/>
    </row>
    <row r="48" spans="1:7">
      <c r="A48" t="s">
        <v>33</v>
      </c>
      <c r="B48" s="12">
        <v>150500</v>
      </c>
      <c r="C48" s="12">
        <v>258000</v>
      </c>
      <c r="D48" s="11">
        <f t="shared" si="0"/>
        <v>-107500</v>
      </c>
      <c r="E48" s="10">
        <f>+D48/C48*100</f>
        <v>-41.666666666666671</v>
      </c>
      <c r="F48" s="10">
        <f t="shared" si="1"/>
        <v>9.104796445658181E-4</v>
      </c>
      <c r="G48" s="10">
        <f t="shared" si="2"/>
        <v>1.470031564368918E-3</v>
      </c>
    </row>
    <row r="49" spans="1:7">
      <c r="A49" t="s">
        <v>34</v>
      </c>
      <c r="B49" s="13">
        <f>SUM(B47:B48)</f>
        <v>150500</v>
      </c>
      <c r="C49" s="13">
        <f>SUM(C47:C48)</f>
        <v>258000</v>
      </c>
      <c r="D49" s="13">
        <f t="shared" si="0"/>
        <v>-107500</v>
      </c>
      <c r="E49" s="10">
        <f>+D49/C49*100</f>
        <v>-41.666666666666671</v>
      </c>
      <c r="F49" s="10">
        <f t="shared" si="1"/>
        <v>9.104796445658181E-4</v>
      </c>
      <c r="G49" s="10">
        <f t="shared" si="2"/>
        <v>1.470031564368918E-3</v>
      </c>
    </row>
    <row r="50" spans="1:7">
      <c r="A50" t="s">
        <v>35</v>
      </c>
      <c r="B50" s="13">
        <f>+B17+B23+B35+B45+B49</f>
        <v>8613224624.2299995</v>
      </c>
      <c r="C50" s="13">
        <f>+C17+C23+C35+C45+C49</f>
        <v>7849871441.5099993</v>
      </c>
      <c r="D50" s="13">
        <f t="shared" si="0"/>
        <v>763353182.72000027</v>
      </c>
      <c r="E50" s="10">
        <f>+D50/C50*100</f>
        <v>9.7244036212287561</v>
      </c>
      <c r="F50" s="10">
        <f t="shared" si="1"/>
        <v>52.107413252056354</v>
      </c>
      <c r="G50" s="10">
        <f t="shared" si="2"/>
        <v>44.726972074642781</v>
      </c>
    </row>
    <row r="51" spans="1:7">
      <c r="B51" s="11"/>
      <c r="C51" s="11"/>
      <c r="D51" s="11"/>
      <c r="E51" s="10"/>
      <c r="F51" s="10"/>
      <c r="G51" s="10"/>
    </row>
    <row r="52" spans="1:7">
      <c r="A52" s="9" t="s">
        <v>36</v>
      </c>
      <c r="B52" s="11"/>
      <c r="C52" s="11"/>
      <c r="D52" s="11"/>
      <c r="E52" s="10"/>
      <c r="F52" s="10"/>
      <c r="G52" s="10"/>
    </row>
    <row r="53" spans="1:7">
      <c r="A53" t="s">
        <v>37</v>
      </c>
      <c r="B53" s="11">
        <v>12000000</v>
      </c>
      <c r="C53" s="11">
        <v>12000000</v>
      </c>
      <c r="D53" s="11">
        <f t="shared" si="0"/>
        <v>0</v>
      </c>
      <c r="E53" s="10">
        <f>+D53/C53*100</f>
        <v>0</v>
      </c>
      <c r="F53" s="10">
        <f t="shared" si="1"/>
        <v>7.2596383619865895E-2</v>
      </c>
      <c r="G53" s="10">
        <f t="shared" si="2"/>
        <v>6.8373561133438052E-2</v>
      </c>
    </row>
    <row r="54" spans="1:7">
      <c r="A54" t="s">
        <v>30</v>
      </c>
      <c r="B54" s="11">
        <v>40957175</v>
      </c>
      <c r="C54" s="11">
        <v>36601335</v>
      </c>
      <c r="D54" s="11">
        <f t="shared" si="0"/>
        <v>4355840</v>
      </c>
      <c r="E54" s="10">
        <f>+D54/C54*100</f>
        <v>11.900768100398523</v>
      </c>
      <c r="F54" s="10">
        <f t="shared" si="1"/>
        <v>0.24777856569049841</v>
      </c>
      <c r="G54" s="10">
        <f t="shared" si="2"/>
        <v>0.20854696801566214</v>
      </c>
    </row>
    <row r="55" spans="1:7">
      <c r="A55" t="s">
        <v>38</v>
      </c>
      <c r="B55" s="12">
        <v>106305514</v>
      </c>
      <c r="C55" s="12">
        <v>55607750</v>
      </c>
      <c r="D55" s="11">
        <f t="shared" si="0"/>
        <v>50697764</v>
      </c>
      <c r="E55" s="10">
        <f>+D55/C55*100</f>
        <v>91.170320683717648</v>
      </c>
      <c r="F55" s="10">
        <f t="shared" si="1"/>
        <v>0.64311632293758536</v>
      </c>
      <c r="G55" s="10">
        <f t="shared" si="2"/>
        <v>0.31684165784316165</v>
      </c>
    </row>
    <row r="56" spans="1:7">
      <c r="A56" t="s">
        <v>39</v>
      </c>
      <c r="B56" s="13">
        <f>SUM(B53:B55)</f>
        <v>159262689</v>
      </c>
      <c r="C56" s="13">
        <f>SUM(C53:C55)</f>
        <v>104209085</v>
      </c>
      <c r="D56" s="13">
        <f t="shared" si="0"/>
        <v>55053604</v>
      </c>
      <c r="E56" s="10">
        <f>+D56/C56*100</f>
        <v>52.829946640448867</v>
      </c>
      <c r="F56" s="10">
        <f t="shared" si="1"/>
        <v>0.96349127224794973</v>
      </c>
      <c r="G56" s="10">
        <f t="shared" si="2"/>
        <v>0.5937621869922618</v>
      </c>
    </row>
    <row r="57" spans="1:7">
      <c r="B57" s="11"/>
      <c r="C57" s="11"/>
      <c r="D57" s="11"/>
      <c r="E57" s="10"/>
      <c r="F57" s="10"/>
      <c r="G57" s="10"/>
    </row>
    <row r="58" spans="1:7">
      <c r="A58" s="9" t="s">
        <v>40</v>
      </c>
      <c r="B58" s="11"/>
      <c r="C58" s="11"/>
      <c r="D58" s="11"/>
      <c r="E58" s="10"/>
      <c r="F58" s="10"/>
      <c r="G58" s="10"/>
    </row>
    <row r="59" spans="1:7">
      <c r="A59" t="s">
        <v>41</v>
      </c>
      <c r="B59" s="11"/>
      <c r="C59" s="11"/>
      <c r="D59" s="11"/>
      <c r="E59" s="10"/>
      <c r="F59" s="10"/>
      <c r="G59" s="10"/>
    </row>
    <row r="60" spans="1:7">
      <c r="A60" t="s">
        <v>42</v>
      </c>
      <c r="B60" s="11">
        <v>127077984.63</v>
      </c>
      <c r="C60" s="11">
        <v>66077984.630000003</v>
      </c>
      <c r="D60" s="11">
        <f t="shared" si="0"/>
        <v>60999999.999999993</v>
      </c>
      <c r="E60" s="10">
        <f>+D60/C60*100</f>
        <v>92.315164182996952</v>
      </c>
      <c r="F60" s="10">
        <f t="shared" si="1"/>
        <v>0.76878351015324187</v>
      </c>
      <c r="G60" s="10">
        <f t="shared" si="2"/>
        <v>0.37649892680614039</v>
      </c>
    </row>
    <row r="61" spans="1:7">
      <c r="A61" t="s">
        <v>30</v>
      </c>
      <c r="B61" s="12">
        <v>188224027.63999999</v>
      </c>
      <c r="C61" s="12">
        <v>167055231.63999999</v>
      </c>
      <c r="D61" s="11">
        <f t="shared" si="0"/>
        <v>21168796</v>
      </c>
      <c r="E61" s="10">
        <f>+D61/C61*100</f>
        <v>12.671734846124572</v>
      </c>
      <c r="F61" s="10">
        <f t="shared" si="1"/>
        <v>1.1386986430858066</v>
      </c>
      <c r="G61" s="10">
        <f t="shared" si="2"/>
        <v>0.95184675776651595</v>
      </c>
    </row>
    <row r="62" spans="1:7">
      <c r="A62" t="s">
        <v>43</v>
      </c>
      <c r="B62" s="13">
        <f>SUM(B60:B61)</f>
        <v>315302012.26999998</v>
      </c>
      <c r="C62" s="13">
        <f>SUM(C60:C61)</f>
        <v>233133216.26999998</v>
      </c>
      <c r="D62" s="13">
        <f t="shared" si="0"/>
        <v>82168796</v>
      </c>
      <c r="E62" s="10">
        <f>+D62/C62*100</f>
        <v>35.245426333773629</v>
      </c>
      <c r="F62" s="10">
        <f t="shared" si="1"/>
        <v>1.9074821532390485</v>
      </c>
      <c r="G62" s="10">
        <f t="shared" si="2"/>
        <v>1.3283456845726564</v>
      </c>
    </row>
    <row r="63" spans="1:7">
      <c r="B63" s="11"/>
      <c r="C63" s="11"/>
      <c r="D63" s="11"/>
      <c r="E63" s="10"/>
      <c r="F63" s="10"/>
      <c r="G63" s="10"/>
    </row>
    <row r="64" spans="1:7">
      <c r="A64" t="s">
        <v>44</v>
      </c>
      <c r="B64" s="11"/>
      <c r="C64" s="11"/>
      <c r="D64" s="11"/>
      <c r="E64" s="10"/>
      <c r="F64" s="10"/>
      <c r="G64" s="10"/>
    </row>
    <row r="65" spans="1:7">
      <c r="A65" t="s">
        <v>45</v>
      </c>
      <c r="B65" s="11">
        <v>1114586567.48</v>
      </c>
      <c r="C65" s="11">
        <v>1114586567.48</v>
      </c>
      <c r="D65" s="11">
        <f t="shared" si="0"/>
        <v>0</v>
      </c>
      <c r="E65" s="10">
        <f t="shared" ref="E65:E71" si="5">+D65/C65*100</f>
        <v>0</v>
      </c>
      <c r="F65" s="10">
        <f t="shared" si="1"/>
        <v>6.7429128358606354</v>
      </c>
      <c r="G65" s="10">
        <f t="shared" si="2"/>
        <v>6.3506877341752217</v>
      </c>
    </row>
    <row r="66" spans="1:7">
      <c r="A66" t="s">
        <v>46</v>
      </c>
      <c r="B66" s="11">
        <v>528264679.24000001</v>
      </c>
      <c r="C66" s="11">
        <v>504511698.24000001</v>
      </c>
      <c r="D66" s="11">
        <f t="shared" si="0"/>
        <v>23752981</v>
      </c>
      <c r="E66" s="10">
        <f t="shared" si="5"/>
        <v>4.7081130294625062</v>
      </c>
      <c r="F66" s="10">
        <f t="shared" si="1"/>
        <v>3.1958421089110374</v>
      </c>
      <c r="G66" s="10">
        <f t="shared" si="2"/>
        <v>2.8746051201789404</v>
      </c>
    </row>
    <row r="67" spans="1:7">
      <c r="A67" t="s">
        <v>47</v>
      </c>
      <c r="B67" s="11">
        <v>48880525.329999998</v>
      </c>
      <c r="C67" s="11">
        <v>48598775.329999998</v>
      </c>
      <c r="D67" s="11">
        <f t="shared" si="0"/>
        <v>281750</v>
      </c>
      <c r="E67" s="10">
        <f t="shared" si="5"/>
        <v>0.57974711931902501</v>
      </c>
      <c r="F67" s="10">
        <f t="shared" si="1"/>
        <v>0.29571244736643765</v>
      </c>
      <c r="G67" s="10">
        <f t="shared" si="2"/>
        <v>0.27690594466966462</v>
      </c>
    </row>
    <row r="68" spans="1:7">
      <c r="A68" t="s">
        <v>48</v>
      </c>
      <c r="B68" s="11">
        <v>128467477</v>
      </c>
      <c r="C68" s="11">
        <v>115584869</v>
      </c>
      <c r="D68" s="11">
        <f t="shared" si="0"/>
        <v>12882608</v>
      </c>
      <c r="E68" s="10">
        <f t="shared" si="5"/>
        <v>11.145583424072575</v>
      </c>
      <c r="F68" s="10">
        <f t="shared" si="1"/>
        <v>0.77718952024735821</v>
      </c>
      <c r="G68" s="10">
        <f t="shared" si="2"/>
        <v>0.65857909222266064</v>
      </c>
    </row>
    <row r="69" spans="1:7">
      <c r="A69" t="s">
        <v>49</v>
      </c>
      <c r="B69" s="11">
        <v>105472849</v>
      </c>
      <c r="C69" s="11">
        <v>120178947</v>
      </c>
      <c r="D69" s="11">
        <f t="shared" si="0"/>
        <v>-14706098</v>
      </c>
      <c r="E69" s="10">
        <f t="shared" si="5"/>
        <v>-12.236833794191924</v>
      </c>
      <c r="F69" s="10">
        <f t="shared" si="1"/>
        <v>0.63807895062368236</v>
      </c>
      <c r="G69" s="10">
        <f t="shared" si="2"/>
        <v>0.68475521497139258</v>
      </c>
    </row>
    <row r="70" spans="1:7">
      <c r="A70" t="s">
        <v>30</v>
      </c>
      <c r="B70" s="12">
        <v>3501679576.96</v>
      </c>
      <c r="C70" s="12">
        <v>3108733706.2399998</v>
      </c>
      <c r="D70" s="12">
        <f t="shared" si="0"/>
        <v>392945870.72000027</v>
      </c>
      <c r="E70" s="10">
        <f t="shared" si="5"/>
        <v>12.640062091238644</v>
      </c>
      <c r="F70" s="10">
        <f t="shared" si="1"/>
        <v>21.184106156903155</v>
      </c>
      <c r="G70" s="10">
        <f t="shared" si="2"/>
        <v>17.712932842598335</v>
      </c>
    </row>
    <row r="71" spans="1:7">
      <c r="A71" t="s">
        <v>50</v>
      </c>
      <c r="B71" s="11">
        <f>SUM(B65:B70)</f>
        <v>5427351675.0100002</v>
      </c>
      <c r="C71" s="11">
        <f>SUM(C65:C70)</f>
        <v>5012194563.29</v>
      </c>
      <c r="D71" s="14">
        <f t="shared" si="0"/>
        <v>415157111.72000027</v>
      </c>
      <c r="E71" s="10">
        <f t="shared" si="5"/>
        <v>8.2829408650787002</v>
      </c>
      <c r="F71" s="10">
        <f t="shared" si="1"/>
        <v>32.833842019912311</v>
      </c>
      <c r="G71" s="10">
        <f t="shared" si="2"/>
        <v>28.55846594881622</v>
      </c>
    </row>
    <row r="72" spans="1:7">
      <c r="B72" s="11"/>
      <c r="C72" s="11"/>
      <c r="D72" s="11"/>
      <c r="E72" s="10"/>
      <c r="F72" s="10"/>
      <c r="G72" s="10"/>
    </row>
    <row r="73" spans="1:7">
      <c r="A73" t="s">
        <v>51</v>
      </c>
      <c r="B73" s="11">
        <v>-1704775662.79</v>
      </c>
      <c r="C73" s="11">
        <v>-1384647879.9200001</v>
      </c>
      <c r="D73" s="11">
        <f t="shared" si="0"/>
        <v>-320127782.86999989</v>
      </c>
      <c r="E73" s="10">
        <f>+D73/C73*100</f>
        <v>23.119797279326761</v>
      </c>
      <c r="F73" s="10">
        <f t="shared" si="1"/>
        <v>-10.313379000142833</v>
      </c>
      <c r="G73" s="10">
        <f t="shared" si="2"/>
        <v>-7.8894422054996252</v>
      </c>
    </row>
    <row r="74" spans="1:7">
      <c r="A74" t="s">
        <v>30</v>
      </c>
      <c r="B74" s="12">
        <v>-1002608923.4400001</v>
      </c>
      <c r="C74" s="12">
        <v>-840112511.72000003</v>
      </c>
      <c r="D74" s="11">
        <f t="shared" si="0"/>
        <v>-162496411.72000003</v>
      </c>
      <c r="E74" s="10">
        <f>+D74/C74*100</f>
        <v>19.342220173261534</v>
      </c>
      <c r="F74" s="10">
        <f t="shared" si="1"/>
        <v>-6.0654818355625837</v>
      </c>
      <c r="G74" s="10">
        <f t="shared" si="2"/>
        <v>-4.7867903482544678</v>
      </c>
    </row>
    <row r="75" spans="1:7">
      <c r="A75" t="s">
        <v>52</v>
      </c>
      <c r="B75" s="12">
        <f>+B62+B71+B73+B74</f>
        <v>3035269101.0500007</v>
      </c>
      <c r="C75" s="12">
        <f>+C62+C71+C73+C74</f>
        <v>3020567387.9199991</v>
      </c>
      <c r="D75" s="13">
        <f t="shared" si="0"/>
        <v>14701713.130001545</v>
      </c>
      <c r="E75" s="10">
        <f>+D75/C75*100</f>
        <v>0.48672024960599641</v>
      </c>
      <c r="F75" s="10">
        <f t="shared" si="1"/>
        <v>18.362463337445945</v>
      </c>
      <c r="G75" s="10">
        <f t="shared" si="2"/>
        <v>17.210579079634776</v>
      </c>
    </row>
    <row r="76" spans="1:7">
      <c r="B76" s="11"/>
      <c r="C76" s="11"/>
      <c r="D76" s="11"/>
      <c r="E76" s="10"/>
      <c r="F76" s="10"/>
      <c r="G76" s="10"/>
    </row>
    <row r="77" spans="1:7">
      <c r="A77" s="9" t="s">
        <v>53</v>
      </c>
      <c r="B77" s="11"/>
      <c r="C77" s="11"/>
      <c r="D77" s="11"/>
      <c r="E77" s="10"/>
      <c r="F77" s="10"/>
      <c r="G77" s="10"/>
    </row>
    <row r="78" spans="1:7">
      <c r="A78" t="s">
        <v>32</v>
      </c>
      <c r="B78" s="11"/>
      <c r="C78" s="11"/>
      <c r="D78" s="11"/>
      <c r="E78" s="10"/>
      <c r="F78" s="10"/>
      <c r="G78" s="10"/>
    </row>
    <row r="79" spans="1:7">
      <c r="A79" t="s">
        <v>54</v>
      </c>
      <c r="B79" s="12">
        <v>132629897</v>
      </c>
      <c r="C79" s="12">
        <v>116287341</v>
      </c>
      <c r="D79" s="11">
        <f t="shared" ref="D79:D142" si="6">+B79-C79</f>
        <v>16342556</v>
      </c>
      <c r="E79" s="10">
        <f>+D79/C79*100</f>
        <v>14.053598490999979</v>
      </c>
      <c r="F79" s="10">
        <f t="shared" ref="F79:F143" si="7">+B79/$B$87*100</f>
        <v>0.80237090683960843</v>
      </c>
      <c r="G79" s="10">
        <f t="shared" ref="G79:G143" si="8">+C79/$C$87*100</f>
        <v>0.66258163490903799</v>
      </c>
    </row>
    <row r="80" spans="1:7">
      <c r="A80" t="s">
        <v>34</v>
      </c>
      <c r="B80" s="13">
        <f>SUM(B78:B79)</f>
        <v>132629897</v>
      </c>
      <c r="C80" s="13">
        <f>SUM(C78:C79)</f>
        <v>116287341</v>
      </c>
      <c r="D80" s="13">
        <f t="shared" si="6"/>
        <v>16342556</v>
      </c>
      <c r="E80" s="10">
        <f>+D80/C80*100</f>
        <v>14.053598490999979</v>
      </c>
      <c r="F80" s="10">
        <f t="shared" si="7"/>
        <v>0.80237090683960843</v>
      </c>
      <c r="G80" s="10">
        <f t="shared" si="8"/>
        <v>0.66258163490903799</v>
      </c>
    </row>
    <row r="81" spans="1:7">
      <c r="B81" s="11"/>
      <c r="C81" s="11"/>
      <c r="D81" s="11"/>
      <c r="E81" s="10"/>
      <c r="F81" s="10"/>
      <c r="G81" s="10"/>
    </row>
    <row r="82" spans="1:7">
      <c r="A82" t="s">
        <v>55</v>
      </c>
      <c r="B82" s="11"/>
      <c r="C82" s="11"/>
      <c r="D82" s="11"/>
      <c r="E82" s="10"/>
      <c r="F82" s="10"/>
      <c r="G82" s="10"/>
    </row>
    <row r="83" spans="1:7">
      <c r="A83" t="s">
        <v>56</v>
      </c>
      <c r="B83" s="11">
        <v>12961900</v>
      </c>
      <c r="C83" s="11">
        <v>18488982</v>
      </c>
      <c r="D83" s="11">
        <f t="shared" si="6"/>
        <v>-5527082</v>
      </c>
      <c r="E83" s="10">
        <f>+D83/C83*100</f>
        <v>-29.893922769787974</v>
      </c>
      <c r="F83" s="10">
        <f t="shared" si="7"/>
        <v>7.8415588736861649E-2</v>
      </c>
      <c r="G83" s="10">
        <f t="shared" si="8"/>
        <v>0.10534646175600296</v>
      </c>
    </row>
    <row r="84" spans="1:7">
      <c r="A84" t="s">
        <v>57</v>
      </c>
      <c r="B84" s="12">
        <v>4576400795</v>
      </c>
      <c r="C84" s="12">
        <v>6441219317</v>
      </c>
      <c r="D84" s="11">
        <f t="shared" si="6"/>
        <v>-1864818522</v>
      </c>
      <c r="E84" s="10">
        <f>+D84/C84*100</f>
        <v>-28.951327849965836</v>
      </c>
      <c r="F84" s="10">
        <f t="shared" si="7"/>
        <v>27.685845642673275</v>
      </c>
      <c r="G84" s="10">
        <f t="shared" si="8"/>
        <v>36.700758562065126</v>
      </c>
    </row>
    <row r="85" spans="1:7">
      <c r="A85" t="s">
        <v>58</v>
      </c>
      <c r="B85" s="11">
        <f>SUM(B83:B84)</f>
        <v>4589362695</v>
      </c>
      <c r="C85" s="11">
        <f>SUM(C83:C84)</f>
        <v>6459708299</v>
      </c>
      <c r="D85" s="13">
        <f t="shared" si="6"/>
        <v>-1870345604</v>
      </c>
      <c r="E85" s="10">
        <f>+D85/C85*100</f>
        <v>-28.954025745861315</v>
      </c>
      <c r="F85" s="10">
        <f t="shared" si="7"/>
        <v>27.764261231410131</v>
      </c>
      <c r="G85" s="10">
        <f t="shared" si="8"/>
        <v>36.806105023821132</v>
      </c>
    </row>
    <row r="86" spans="1:7">
      <c r="A86" t="s">
        <v>59</v>
      </c>
      <c r="B86" s="13">
        <f>+B80+B85</f>
        <v>4721992592</v>
      </c>
      <c r="C86" s="13">
        <f>+C80+C85</f>
        <v>6575995640</v>
      </c>
      <c r="D86" s="13">
        <f t="shared" si="6"/>
        <v>-1854003048</v>
      </c>
      <c r="E86" s="10">
        <f>+D86/C86*100</f>
        <v>-28.1934957000671</v>
      </c>
      <c r="F86" s="10">
        <f t="shared" si="7"/>
        <v>28.566632138249741</v>
      </c>
      <c r="G86" s="10">
        <f t="shared" si="8"/>
        <v>37.468686658730171</v>
      </c>
    </row>
    <row r="87" spans="1:7" ht="13.8" thickBot="1">
      <c r="A87" t="s">
        <v>60</v>
      </c>
      <c r="B87" s="15">
        <f>+B50+B56+B75+B86</f>
        <v>16529749006.280001</v>
      </c>
      <c r="C87" s="15">
        <f>+C50+C56+C75+C86</f>
        <v>17550643554.43</v>
      </c>
      <c r="D87" s="15">
        <f t="shared" si="6"/>
        <v>-1020894548.1499996</v>
      </c>
      <c r="E87" s="10">
        <f>+D87/C87*100</f>
        <v>-5.8168496498939675</v>
      </c>
      <c r="F87" s="10">
        <f t="shared" si="7"/>
        <v>100</v>
      </c>
      <c r="G87" s="10">
        <f t="shared" si="8"/>
        <v>100</v>
      </c>
    </row>
    <row r="88" spans="1:7" ht="13.8" thickTop="1">
      <c r="B88" s="11"/>
      <c r="C88" s="11"/>
      <c r="D88" s="11"/>
      <c r="E88" s="10"/>
      <c r="F88" s="10"/>
      <c r="G88" s="10"/>
    </row>
    <row r="89" spans="1:7">
      <c r="A89" t="s">
        <v>61</v>
      </c>
      <c r="B89" s="11">
        <v>1150924632</v>
      </c>
      <c r="C89" s="11">
        <v>738273532.44000006</v>
      </c>
      <c r="D89" s="11">
        <f t="shared" si="6"/>
        <v>412651099.55999994</v>
      </c>
      <c r="E89" s="10">
        <f>+D89/C89*100</f>
        <v>55.894066552295961</v>
      </c>
      <c r="F89" s="10">
        <f t="shared" si="7"/>
        <v>6.9627471751854157</v>
      </c>
      <c r="G89" s="10">
        <f t="shared" si="8"/>
        <v>4.2065325419571327</v>
      </c>
    </row>
    <row r="90" spans="1:7">
      <c r="A90" t="s">
        <v>62</v>
      </c>
      <c r="B90" s="11">
        <v>27712900</v>
      </c>
      <c r="C90" s="11">
        <v>17117463</v>
      </c>
      <c r="D90" s="11">
        <f t="shared" si="6"/>
        <v>10595437</v>
      </c>
      <c r="E90" s="10">
        <f>+D90/C90*100</f>
        <v>61.898407491811135</v>
      </c>
      <c r="F90" s="10">
        <f t="shared" si="7"/>
        <v>0.16765469330158178</v>
      </c>
      <c r="G90" s="10">
        <f t="shared" si="8"/>
        <v>9.7531825239988643E-2</v>
      </c>
    </row>
    <row r="91" spans="1:7">
      <c r="B91" s="11"/>
      <c r="C91" s="11"/>
      <c r="D91" s="11"/>
      <c r="E91" s="10"/>
      <c r="F91" s="10"/>
      <c r="G91" s="10"/>
    </row>
    <row r="92" spans="1:7">
      <c r="B92" s="11"/>
      <c r="C92" s="11"/>
      <c r="D92" s="11"/>
      <c r="E92" s="10"/>
      <c r="F92" s="10"/>
      <c r="G92" s="10"/>
    </row>
    <row r="93" spans="1:7">
      <c r="A93" t="s">
        <v>63</v>
      </c>
      <c r="B93" s="11"/>
      <c r="C93" s="11"/>
      <c r="D93" s="11"/>
      <c r="E93" s="10"/>
      <c r="F93" s="10"/>
      <c r="G93" s="10"/>
    </row>
    <row r="94" spans="1:7">
      <c r="B94" s="11"/>
      <c r="C94" s="11"/>
      <c r="D94" s="11"/>
      <c r="E94" s="10"/>
      <c r="F94" s="10"/>
      <c r="G94" s="10"/>
    </row>
    <row r="95" spans="1:7">
      <c r="A95" s="9" t="s">
        <v>64</v>
      </c>
      <c r="B95" s="11"/>
      <c r="C95" s="11"/>
      <c r="D95" s="11"/>
      <c r="E95" s="10"/>
      <c r="F95" s="10"/>
      <c r="G95" s="10"/>
    </row>
    <row r="96" spans="1:7">
      <c r="B96" s="11"/>
      <c r="C96" s="11"/>
      <c r="D96" s="11"/>
      <c r="E96" s="10"/>
      <c r="F96" s="10"/>
      <c r="G96" s="10"/>
    </row>
    <row r="97" spans="1:7">
      <c r="A97" t="s">
        <v>65</v>
      </c>
      <c r="B97" s="11">
        <v>-1975000000</v>
      </c>
      <c r="C97" s="11">
        <v>0</v>
      </c>
      <c r="D97" s="11">
        <f t="shared" si="6"/>
        <v>-1975000000</v>
      </c>
      <c r="E97" s="10" t="e">
        <f>+D97/C97*100</f>
        <v>#DIV/0!</v>
      </c>
      <c r="F97" s="10">
        <f t="shared" si="7"/>
        <v>-11.948154804102929</v>
      </c>
      <c r="G97" s="10">
        <f t="shared" si="8"/>
        <v>0</v>
      </c>
    </row>
    <row r="98" spans="1:7">
      <c r="A98" t="s">
        <v>66</v>
      </c>
      <c r="B98" s="11">
        <v>-35666992</v>
      </c>
      <c r="C98" s="11">
        <v>-63538990</v>
      </c>
      <c r="D98" s="11">
        <f t="shared" si="6"/>
        <v>27871998</v>
      </c>
      <c r="E98" s="10">
        <f>+D98/C98*100</f>
        <v>-43.865975836254243</v>
      </c>
      <c r="F98" s="10">
        <f t="shared" si="7"/>
        <v>-0.21577455281655733</v>
      </c>
      <c r="G98" s="10">
        <f t="shared" si="8"/>
        <v>-0.36203225142682571</v>
      </c>
    </row>
    <row r="99" spans="1:7">
      <c r="B99" s="11"/>
      <c r="C99" s="11"/>
      <c r="D99" s="11"/>
      <c r="E99" s="10"/>
      <c r="F99" s="10"/>
      <c r="G99" s="10"/>
    </row>
    <row r="100" spans="1:7">
      <c r="A100" s="9" t="s">
        <v>67</v>
      </c>
      <c r="B100" s="11"/>
      <c r="C100" s="11"/>
      <c r="D100" s="11"/>
      <c r="E100" s="10"/>
      <c r="F100" s="10"/>
      <c r="G100" s="10"/>
    </row>
    <row r="101" spans="1:7">
      <c r="A101" t="s">
        <v>68</v>
      </c>
      <c r="B101" s="11">
        <v>-741922923</v>
      </c>
      <c r="C101" s="11">
        <v>-544551898</v>
      </c>
      <c r="D101" s="11">
        <f t="shared" si="6"/>
        <v>-197371025</v>
      </c>
      <c r="E101" s="10">
        <f t="shared" ref="E101:E108" si="9">+D101/C101*100</f>
        <v>36.244667537638442</v>
      </c>
      <c r="F101" s="10">
        <f t="shared" si="7"/>
        <v>-4.4884100945400185</v>
      </c>
      <c r="G101" s="10">
        <f t="shared" si="8"/>
        <v>-3.1027460406860596</v>
      </c>
    </row>
    <row r="102" spans="1:7">
      <c r="A102" t="s">
        <v>69</v>
      </c>
      <c r="B102" s="11">
        <v>0</v>
      </c>
      <c r="C102" s="11">
        <v>0</v>
      </c>
      <c r="D102" s="11">
        <f t="shared" si="6"/>
        <v>0</v>
      </c>
      <c r="E102" s="10" t="e">
        <f t="shared" si="9"/>
        <v>#DIV/0!</v>
      </c>
      <c r="F102" s="10">
        <f t="shared" si="7"/>
        <v>0</v>
      </c>
      <c r="G102" s="10">
        <f t="shared" si="8"/>
        <v>0</v>
      </c>
    </row>
    <row r="103" spans="1:7">
      <c r="A103" t="s">
        <v>70</v>
      </c>
      <c r="B103" s="11">
        <v>-25946819</v>
      </c>
      <c r="C103" s="11">
        <v>-6556838</v>
      </c>
      <c r="D103" s="11">
        <f t="shared" si="6"/>
        <v>-19389981</v>
      </c>
      <c r="E103" s="10">
        <f t="shared" si="9"/>
        <v>295.72152003755468</v>
      </c>
      <c r="F103" s="10">
        <f t="shared" si="7"/>
        <v>-0.15697043548660211</v>
      </c>
      <c r="G103" s="10">
        <f t="shared" si="8"/>
        <v>-3.735953031958747E-2</v>
      </c>
    </row>
    <row r="104" spans="1:7">
      <c r="A104" t="s">
        <v>71</v>
      </c>
      <c r="B104" s="11">
        <v>-4690292</v>
      </c>
      <c r="C104" s="11">
        <v>-3482997</v>
      </c>
      <c r="D104" s="11">
        <f t="shared" si="6"/>
        <v>-1207295</v>
      </c>
      <c r="E104" s="10">
        <f t="shared" si="9"/>
        <v>34.662533444616805</v>
      </c>
      <c r="F104" s="10">
        <f t="shared" si="7"/>
        <v>-2.8374853110099001E-2</v>
      </c>
      <c r="G104" s="10">
        <f t="shared" si="8"/>
        <v>-1.9845409025590108E-2</v>
      </c>
    </row>
    <row r="105" spans="1:7">
      <c r="A105" t="s">
        <v>72</v>
      </c>
      <c r="B105" s="11">
        <v>-26867377</v>
      </c>
      <c r="C105" s="11">
        <v>-27624942</v>
      </c>
      <c r="D105" s="11">
        <f t="shared" si="6"/>
        <v>757565</v>
      </c>
      <c r="E105" s="10">
        <f t="shared" si="9"/>
        <v>-2.7423224997178273</v>
      </c>
      <c r="F105" s="10">
        <f t="shared" si="7"/>
        <v>-0.16253953396263016</v>
      </c>
      <c r="G105" s="10">
        <f t="shared" si="8"/>
        <v>-0.15740130505372335</v>
      </c>
    </row>
    <row r="106" spans="1:7">
      <c r="A106" t="s">
        <v>73</v>
      </c>
      <c r="B106" s="14">
        <v>-117814979</v>
      </c>
      <c r="C106" s="14">
        <v>-33128584</v>
      </c>
      <c r="D106" s="11">
        <f>+B106-C106</f>
        <v>-84686395</v>
      </c>
      <c r="E106" s="10">
        <f>+D106/C106*100</f>
        <v>255.62938337479198</v>
      </c>
      <c r="F106" s="10">
        <f>+B106/$B$87*100</f>
        <v>-0.71274511763753701</v>
      </c>
      <c r="G106" s="10">
        <f>+C106/$C$87*100</f>
        <v>-0.18875993861568646</v>
      </c>
    </row>
    <row r="107" spans="1:7">
      <c r="A107" t="s">
        <v>356</v>
      </c>
      <c r="B107" s="12">
        <v>-36226078.979999997</v>
      </c>
      <c r="C107" s="12">
        <v>0</v>
      </c>
      <c r="D107" s="11">
        <f t="shared" si="6"/>
        <v>-36226078.979999997</v>
      </c>
      <c r="E107" s="10" t="e">
        <f t="shared" si="9"/>
        <v>#DIV/0!</v>
      </c>
      <c r="F107" s="10">
        <f t="shared" si="7"/>
        <v>-0.21915686055630335</v>
      </c>
      <c r="G107" s="10">
        <f t="shared" si="8"/>
        <v>0</v>
      </c>
    </row>
    <row r="108" spans="1:7">
      <c r="A108" t="s">
        <v>74</v>
      </c>
      <c r="B108" s="13">
        <f>SUM(B101:B107)</f>
        <v>-953468468.98000002</v>
      </c>
      <c r="C108" s="13">
        <f>SUM(C101:C107)</f>
        <v>-615345259</v>
      </c>
      <c r="D108" s="13">
        <f t="shared" si="6"/>
        <v>-338123209.98000002</v>
      </c>
      <c r="E108" s="10">
        <f t="shared" si="9"/>
        <v>54.948535807277587</v>
      </c>
      <c r="F108" s="10">
        <f t="shared" si="7"/>
        <v>-5.7681968952931904</v>
      </c>
      <c r="G108" s="10">
        <f t="shared" si="8"/>
        <v>-3.5061122237006472</v>
      </c>
    </row>
    <row r="109" spans="1:7">
      <c r="B109" s="11"/>
      <c r="C109" s="11"/>
      <c r="D109" s="11"/>
      <c r="E109" s="10"/>
      <c r="F109" s="10"/>
      <c r="G109" s="10"/>
    </row>
    <row r="110" spans="1:7">
      <c r="A110" s="9" t="s">
        <v>75</v>
      </c>
      <c r="B110" s="11"/>
      <c r="C110" s="11"/>
      <c r="D110" s="11"/>
      <c r="E110" s="10"/>
      <c r="F110" s="10"/>
      <c r="G110" s="10"/>
    </row>
    <row r="111" spans="1:7">
      <c r="A111" t="s">
        <v>76</v>
      </c>
      <c r="B111" s="11">
        <v>-118785000</v>
      </c>
      <c r="C111" s="11">
        <v>0</v>
      </c>
      <c r="D111" s="11">
        <f t="shared" si="6"/>
        <v>-118785000</v>
      </c>
      <c r="E111" s="10" t="e">
        <f>+D111/C111*100</f>
        <v>#DIV/0!</v>
      </c>
      <c r="F111" s="10">
        <f t="shared" si="7"/>
        <v>-0.71861345235714758</v>
      </c>
      <c r="G111" s="10">
        <f t="shared" si="8"/>
        <v>0</v>
      </c>
    </row>
    <row r="112" spans="1:7">
      <c r="A112" t="s">
        <v>77</v>
      </c>
      <c r="B112" s="11">
        <v>23751602.82</v>
      </c>
      <c r="C112" s="11">
        <v>44752607.82</v>
      </c>
      <c r="D112" s="11">
        <f t="shared" si="6"/>
        <v>-21001005</v>
      </c>
      <c r="E112" s="10">
        <f>+D112/C112*100</f>
        <v>-46.926885433064356</v>
      </c>
      <c r="F112" s="10">
        <f t="shared" si="7"/>
        <v>0.14369003915895073</v>
      </c>
      <c r="G112" s="10">
        <f t="shared" si="8"/>
        <v>0.25499126388846227</v>
      </c>
    </row>
    <row r="113" spans="1:7">
      <c r="A113" t="s">
        <v>78</v>
      </c>
      <c r="B113" s="12"/>
      <c r="C113" s="12"/>
      <c r="D113" s="11">
        <f t="shared" si="6"/>
        <v>0</v>
      </c>
      <c r="E113" s="10" t="e">
        <f>+D113/C113*100</f>
        <v>#DIV/0!</v>
      </c>
      <c r="F113" s="10">
        <f t="shared" si="7"/>
        <v>0</v>
      </c>
      <c r="G113" s="10">
        <f t="shared" si="8"/>
        <v>0</v>
      </c>
    </row>
    <row r="114" spans="1:7">
      <c r="A114" t="s">
        <v>79</v>
      </c>
      <c r="B114" s="13">
        <f>SUM(B111:B113)</f>
        <v>-95033397.180000007</v>
      </c>
      <c r="C114" s="13">
        <f>SUM(C111:C113)</f>
        <v>44752607.82</v>
      </c>
      <c r="D114" s="13">
        <f t="shared" si="6"/>
        <v>-139786005</v>
      </c>
      <c r="E114" s="10">
        <f>+D114/C114*100</f>
        <v>-312.35275844088227</v>
      </c>
      <c r="F114" s="10">
        <f t="shared" si="7"/>
        <v>-0.57492341319819684</v>
      </c>
      <c r="G114" s="10">
        <f t="shared" si="8"/>
        <v>0.25499126388846227</v>
      </c>
    </row>
    <row r="115" spans="1:7">
      <c r="B115" s="11"/>
      <c r="C115" s="11"/>
      <c r="D115" s="11"/>
      <c r="E115" s="10"/>
      <c r="F115" s="10"/>
      <c r="G115" s="10"/>
    </row>
    <row r="116" spans="1:7">
      <c r="A116" s="9" t="s">
        <v>80</v>
      </c>
      <c r="B116" s="11"/>
      <c r="C116" s="11"/>
      <c r="D116" s="11"/>
      <c r="E116" s="10"/>
      <c r="F116" s="10"/>
      <c r="G116" s="10"/>
    </row>
    <row r="117" spans="1:7">
      <c r="A117" t="s">
        <v>81</v>
      </c>
      <c r="B117" s="11">
        <v>0</v>
      </c>
      <c r="C117" s="11">
        <v>0</v>
      </c>
      <c r="D117" s="11">
        <f t="shared" si="6"/>
        <v>0</v>
      </c>
      <c r="E117" s="10" t="e">
        <f t="shared" ref="E117:E122" si="10">+D117/C117*100</f>
        <v>#DIV/0!</v>
      </c>
      <c r="F117" s="10">
        <f t="shared" si="7"/>
        <v>0</v>
      </c>
      <c r="G117" s="10">
        <f t="shared" si="8"/>
        <v>0</v>
      </c>
    </row>
    <row r="118" spans="1:7">
      <c r="A118" t="s">
        <v>82</v>
      </c>
      <c r="B118" s="11">
        <v>-168374216</v>
      </c>
      <c r="C118" s="11">
        <v>-223272732</v>
      </c>
      <c r="D118" s="11">
        <f t="shared" si="6"/>
        <v>54898516</v>
      </c>
      <c r="E118" s="10">
        <f t="shared" si="10"/>
        <v>-24.588097036408367</v>
      </c>
      <c r="F118" s="10">
        <f t="shared" si="7"/>
        <v>-1.0186132647025135</v>
      </c>
      <c r="G118" s="10">
        <f t="shared" si="8"/>
        <v>-1.2721626492359774</v>
      </c>
    </row>
    <row r="119" spans="1:7">
      <c r="A119" t="s">
        <v>83</v>
      </c>
      <c r="B119" s="11">
        <v>-18006548</v>
      </c>
      <c r="C119" s="11">
        <v>-26465055</v>
      </c>
      <c r="D119" s="11">
        <f t="shared" si="6"/>
        <v>8458507</v>
      </c>
      <c r="E119" s="10">
        <f t="shared" si="10"/>
        <v>-31.961040700652237</v>
      </c>
      <c r="F119" s="10">
        <f t="shared" si="7"/>
        <v>-0.10893418885646075</v>
      </c>
      <c r="G119" s="10">
        <f t="shared" si="8"/>
        <v>-0.15079250466185837</v>
      </c>
    </row>
    <row r="120" spans="1:7">
      <c r="A120" t="s">
        <v>84</v>
      </c>
      <c r="B120" s="11">
        <v>-38309623</v>
      </c>
      <c r="C120" s="11">
        <v>-36406324</v>
      </c>
      <c r="D120" s="11">
        <f t="shared" si="6"/>
        <v>-1903299</v>
      </c>
      <c r="E120" s="10">
        <f t="shared" si="10"/>
        <v>5.2279351246777894</v>
      </c>
      <c r="F120" s="10">
        <f t="shared" si="7"/>
        <v>-0.2317616739700365</v>
      </c>
      <c r="G120" s="10">
        <f t="shared" si="8"/>
        <v>-0.20743583497147938</v>
      </c>
    </row>
    <row r="121" spans="1:7">
      <c r="A121" t="s">
        <v>85</v>
      </c>
      <c r="B121" s="12">
        <v>-33313804</v>
      </c>
      <c r="C121" s="12">
        <v>-39692624</v>
      </c>
      <c r="D121" s="11">
        <f t="shared" si="6"/>
        <v>6378820</v>
      </c>
      <c r="E121" s="10">
        <f t="shared" si="10"/>
        <v>-16.07054247660724</v>
      </c>
      <c r="F121" s="10">
        <f t="shared" si="7"/>
        <v>-0.20153847458508523</v>
      </c>
      <c r="G121" s="10">
        <f t="shared" si="8"/>
        <v>-0.22616050446754749</v>
      </c>
    </row>
    <row r="122" spans="1:7">
      <c r="A122" t="s">
        <v>86</v>
      </c>
      <c r="B122" s="13">
        <f>SUM(B117:B121)</f>
        <v>-258004191</v>
      </c>
      <c r="C122" s="13">
        <f>SUM(C117:C121)</f>
        <v>-325836735</v>
      </c>
      <c r="D122" s="13">
        <f t="shared" si="6"/>
        <v>67832544</v>
      </c>
      <c r="E122" s="10">
        <f t="shared" si="10"/>
        <v>-20.817954734293544</v>
      </c>
      <c r="F122" s="10">
        <f t="shared" si="7"/>
        <v>-1.560847602114096</v>
      </c>
      <c r="G122" s="10">
        <f t="shared" si="8"/>
        <v>-1.8565514933368628</v>
      </c>
    </row>
    <row r="123" spans="1:7">
      <c r="B123" s="11"/>
      <c r="C123" s="11"/>
      <c r="D123" s="11"/>
      <c r="E123" s="10"/>
      <c r="F123" s="10"/>
      <c r="G123" s="10"/>
    </row>
    <row r="124" spans="1:7">
      <c r="A124" s="9" t="s">
        <v>87</v>
      </c>
      <c r="B124" s="11"/>
      <c r="C124" s="11"/>
      <c r="D124" s="11"/>
      <c r="E124" s="10"/>
      <c r="F124" s="10"/>
      <c r="G124" s="10"/>
    </row>
    <row r="125" spans="1:7">
      <c r="A125" t="s">
        <v>88</v>
      </c>
      <c r="B125" s="12">
        <v>-525636</v>
      </c>
      <c r="C125" s="12">
        <v>-62000</v>
      </c>
      <c r="D125" s="11">
        <f t="shared" si="6"/>
        <v>-463636</v>
      </c>
      <c r="E125" s="10">
        <f>+D125/C125*100</f>
        <v>747.8</v>
      </c>
      <c r="F125" s="10">
        <f t="shared" si="7"/>
        <v>-3.1799393917009856E-3</v>
      </c>
      <c r="G125" s="10">
        <f t="shared" si="8"/>
        <v>-3.5326339918942992E-4</v>
      </c>
    </row>
    <row r="126" spans="1:7">
      <c r="A126" t="s">
        <v>89</v>
      </c>
      <c r="B126" s="11">
        <f>SUM(B125)</f>
        <v>-525636</v>
      </c>
      <c r="C126" s="11">
        <f>SUM(C125)</f>
        <v>-62000</v>
      </c>
      <c r="D126" s="13">
        <f t="shared" si="6"/>
        <v>-463636</v>
      </c>
      <c r="E126" s="10">
        <f>+D126/C126*100</f>
        <v>747.8</v>
      </c>
      <c r="F126" s="10">
        <f t="shared" si="7"/>
        <v>-3.1799393917009856E-3</v>
      </c>
      <c r="G126" s="10">
        <f t="shared" si="8"/>
        <v>-3.5326339918942992E-4</v>
      </c>
    </row>
    <row r="127" spans="1:7">
      <c r="A127" t="s">
        <v>90</v>
      </c>
      <c r="B127" s="13">
        <f>+B97+B98+B108+B114+B122+B126</f>
        <v>-3317698685.1599998</v>
      </c>
      <c r="C127" s="13">
        <f>+C97+C98+C108+C114+C122+C126</f>
        <v>-960030376.17999995</v>
      </c>
      <c r="D127" s="13">
        <f t="shared" si="6"/>
        <v>-2357668308.98</v>
      </c>
      <c r="E127" s="10">
        <f>+D127/C127*100</f>
        <v>245.58267816079513</v>
      </c>
      <c r="F127" s="10">
        <f t="shared" si="7"/>
        <v>-20.071077206916669</v>
      </c>
      <c r="G127" s="10">
        <f t="shared" si="8"/>
        <v>-5.4700579679750625</v>
      </c>
    </row>
    <row r="128" spans="1:7">
      <c r="B128" s="11"/>
      <c r="C128" s="11"/>
      <c r="D128" s="11"/>
      <c r="E128" s="10"/>
      <c r="F128" s="10"/>
      <c r="G128" s="10"/>
    </row>
    <row r="129" spans="1:7">
      <c r="A129" s="9" t="s">
        <v>91</v>
      </c>
      <c r="B129" s="11"/>
      <c r="C129" s="11"/>
      <c r="D129" s="11"/>
      <c r="E129" s="10"/>
      <c r="F129" s="10"/>
      <c r="G129" s="10"/>
    </row>
    <row r="130" spans="1:7">
      <c r="A130" t="s">
        <v>92</v>
      </c>
      <c r="B130" s="11">
        <v>0</v>
      </c>
      <c r="C130" s="11">
        <v>-570000</v>
      </c>
      <c r="D130" s="11">
        <f t="shared" si="6"/>
        <v>570000</v>
      </c>
      <c r="E130" s="10">
        <f>+D130/C130*100</f>
        <v>-100</v>
      </c>
      <c r="F130" s="10">
        <f t="shared" si="7"/>
        <v>0</v>
      </c>
      <c r="G130" s="10">
        <f t="shared" si="8"/>
        <v>-3.2477441538383074E-3</v>
      </c>
    </row>
    <row r="131" spans="1:7">
      <c r="A131" t="s">
        <v>93</v>
      </c>
      <c r="B131" s="12">
        <v>-150819506</v>
      </c>
      <c r="C131" s="12">
        <v>-161409626</v>
      </c>
      <c r="D131" s="11">
        <f t="shared" si="6"/>
        <v>10590120</v>
      </c>
      <c r="E131" s="10">
        <f>+D131/C131*100</f>
        <v>-6.5610213358650622</v>
      </c>
      <c r="F131" s="10">
        <f t="shared" si="7"/>
        <v>-0.9124125595778888</v>
      </c>
      <c r="G131" s="10">
        <f t="shared" si="8"/>
        <v>-0.91967924423636427</v>
      </c>
    </row>
    <row r="132" spans="1:7">
      <c r="A132" t="s">
        <v>94</v>
      </c>
      <c r="B132" s="13">
        <f>SUM(B130:B131)</f>
        <v>-150819506</v>
      </c>
      <c r="C132" s="13">
        <f>SUM(C130:C131)</f>
        <v>-161979626</v>
      </c>
      <c r="D132" s="13">
        <f t="shared" si="6"/>
        <v>11160120</v>
      </c>
      <c r="E132" s="10">
        <f>+D132/C132*100</f>
        <v>-6.8898294653427588</v>
      </c>
      <c r="F132" s="10">
        <f t="shared" si="7"/>
        <v>-0.9124125595778888</v>
      </c>
      <c r="G132" s="10">
        <f t="shared" si="8"/>
        <v>-0.9229269883902026</v>
      </c>
    </row>
    <row r="133" spans="1:7">
      <c r="B133" s="11"/>
      <c r="C133" s="11"/>
      <c r="D133" s="11"/>
      <c r="E133" s="10"/>
      <c r="F133" s="10"/>
      <c r="G133" s="10"/>
    </row>
    <row r="134" spans="1:7">
      <c r="A134" s="9" t="s">
        <v>95</v>
      </c>
      <c r="B134" s="11"/>
      <c r="C134" s="11"/>
      <c r="D134" s="11"/>
      <c r="E134" s="10"/>
      <c r="F134" s="10"/>
      <c r="G134" s="10"/>
    </row>
    <row r="135" spans="1:7">
      <c r="B135" s="11"/>
      <c r="C135" s="11"/>
      <c r="D135" s="11"/>
      <c r="E135" s="10"/>
      <c r="F135" s="10"/>
      <c r="G135" s="10"/>
    </row>
    <row r="136" spans="1:7">
      <c r="A136" t="s">
        <v>96</v>
      </c>
      <c r="B136" s="12">
        <v>-100000000</v>
      </c>
      <c r="C136" s="12">
        <v>-200000000</v>
      </c>
      <c r="D136" s="11">
        <f t="shared" si="6"/>
        <v>100000000</v>
      </c>
      <c r="E136" s="10">
        <f>+D136/C136*100</f>
        <v>-50</v>
      </c>
      <c r="F136" s="10">
        <f t="shared" si="7"/>
        <v>-0.60496986349888249</v>
      </c>
      <c r="G136" s="10">
        <f t="shared" si="8"/>
        <v>-1.1395593522239673</v>
      </c>
    </row>
    <row r="137" spans="1:7">
      <c r="A137" t="s">
        <v>97</v>
      </c>
      <c r="B137" s="13">
        <f>SUM(B136)</f>
        <v>-100000000</v>
      </c>
      <c r="C137" s="13">
        <f>SUM(C136)</f>
        <v>-200000000</v>
      </c>
      <c r="D137" s="13">
        <f t="shared" si="6"/>
        <v>100000000</v>
      </c>
      <c r="E137" s="10">
        <f>+D137/C137*100</f>
        <v>-50</v>
      </c>
      <c r="F137" s="10">
        <f t="shared" si="7"/>
        <v>-0.60496986349888249</v>
      </c>
      <c r="G137" s="10">
        <f t="shared" si="8"/>
        <v>-1.1395593522239673</v>
      </c>
    </row>
    <row r="138" spans="1:7">
      <c r="A138" t="s">
        <v>98</v>
      </c>
      <c r="B138" s="13">
        <f>+B127+B132+B137</f>
        <v>-3568518191.1599998</v>
      </c>
      <c r="C138" s="13">
        <f>+C127+C132+C137</f>
        <v>-1322010002.1799998</v>
      </c>
      <c r="D138" s="13">
        <f t="shared" si="6"/>
        <v>-2246508188.98</v>
      </c>
      <c r="E138" s="10">
        <f>+D138/C138*100</f>
        <v>169.93125507942443</v>
      </c>
      <c r="F138" s="10">
        <f t="shared" si="7"/>
        <v>-21.588459629993441</v>
      </c>
      <c r="G138" s="10">
        <f t="shared" si="8"/>
        <v>-7.5325443085892312</v>
      </c>
    </row>
    <row r="139" spans="1:7">
      <c r="B139" s="11"/>
      <c r="C139" s="11"/>
      <c r="D139" s="11"/>
      <c r="E139" s="10"/>
      <c r="F139" s="10"/>
      <c r="G139" s="10"/>
    </row>
    <row r="140" spans="1:7">
      <c r="A140" s="9" t="s">
        <v>99</v>
      </c>
      <c r="B140" s="11"/>
      <c r="C140" s="11"/>
      <c r="D140" s="11"/>
      <c r="E140" s="10"/>
      <c r="F140" s="10"/>
      <c r="G140" s="10"/>
    </row>
    <row r="141" spans="1:7">
      <c r="B141" s="11"/>
      <c r="C141" s="11"/>
      <c r="D141" s="11"/>
      <c r="E141" s="10"/>
      <c r="F141" s="10"/>
      <c r="G141" s="10"/>
    </row>
    <row r="142" spans="1:7">
      <c r="A142" t="s">
        <v>100</v>
      </c>
      <c r="B142" s="11">
        <v>-740000000</v>
      </c>
      <c r="C142" s="11">
        <v>-740000000</v>
      </c>
      <c r="D142" s="11">
        <f t="shared" si="6"/>
        <v>0</v>
      </c>
      <c r="E142" s="10">
        <f t="shared" ref="E142:E149" si="11">+D142/C142*100</f>
        <v>0</v>
      </c>
      <c r="F142" s="10">
        <f t="shared" si="7"/>
        <v>-4.4767769898917305</v>
      </c>
      <c r="G142" s="10">
        <f t="shared" si="8"/>
        <v>-4.2163696032286788</v>
      </c>
    </row>
    <row r="143" spans="1:7">
      <c r="A143" t="s">
        <v>101</v>
      </c>
      <c r="B143" s="11">
        <v>-437426046.85000002</v>
      </c>
      <c r="C143" s="11">
        <v>-437426046.85000002</v>
      </c>
      <c r="D143" s="11">
        <f t="shared" ref="D143:D152" si="12">+B143-C143</f>
        <v>0</v>
      </c>
      <c r="E143" s="10">
        <f t="shared" si="11"/>
        <v>0</v>
      </c>
      <c r="F143" s="10">
        <f t="shared" si="7"/>
        <v>-2.6462957585370028</v>
      </c>
      <c r="G143" s="10">
        <f t="shared" si="8"/>
        <v>-2.4923647129713844</v>
      </c>
    </row>
    <row r="144" spans="1:7">
      <c r="A144" t="s">
        <v>102</v>
      </c>
      <c r="B144" s="11">
        <v>-5428998554</v>
      </c>
      <c r="C144" s="11">
        <v>-4722388714</v>
      </c>
      <c r="D144" s="11">
        <f t="shared" si="12"/>
        <v>-706609840</v>
      </c>
      <c r="E144" s="10">
        <f t="shared" si="11"/>
        <v>14.962974943277827</v>
      </c>
      <c r="F144" s="10">
        <f t="shared" ref="F144:F152" si="13">+B144/$B$87*100</f>
        <v>-32.843805141490101</v>
      </c>
      <c r="G144" s="10">
        <f t="shared" ref="G144:G152" si="14">+C144/$C$87*100</f>
        <v>-26.907211119378072</v>
      </c>
    </row>
    <row r="145" spans="1:7">
      <c r="A145" t="s">
        <v>103</v>
      </c>
      <c r="B145" s="11">
        <v>-1748370581.9000001</v>
      </c>
      <c r="C145" s="11">
        <v>-2264009848.1100001</v>
      </c>
      <c r="D145" s="11">
        <f t="shared" si="12"/>
        <v>515639266.21000004</v>
      </c>
      <c r="E145" s="10">
        <f t="shared" si="11"/>
        <v>-22.775486892888594</v>
      </c>
      <c r="F145" s="10">
        <f t="shared" si="13"/>
        <v>-10.577115122775048</v>
      </c>
      <c r="G145" s="10">
        <f t="shared" si="14"/>
        <v>-12.899867979704574</v>
      </c>
    </row>
    <row r="146" spans="1:7">
      <c r="A146" t="s">
        <v>104</v>
      </c>
      <c r="B146" s="11">
        <v>-17072937.370000001</v>
      </c>
      <c r="C146" s="11">
        <v>-1605100644.29</v>
      </c>
      <c r="D146" s="11">
        <f t="shared" si="12"/>
        <v>1588027706.9200001</v>
      </c>
      <c r="E146" s="10">
        <f t="shared" si="11"/>
        <v>-98.936332283540267</v>
      </c>
      <c r="F146" s="10">
        <f t="shared" si="13"/>
        <v>-0.1032861259025387</v>
      </c>
      <c r="G146" s="10">
        <f t="shared" si="14"/>
        <v>-9.1455372523069247</v>
      </c>
    </row>
    <row r="147" spans="1:7">
      <c r="A147" t="s">
        <v>105</v>
      </c>
      <c r="B147" s="12">
        <v>-4589362695</v>
      </c>
      <c r="C147" s="11">
        <v>-6459708299</v>
      </c>
      <c r="D147" s="11">
        <f t="shared" si="12"/>
        <v>1870345604</v>
      </c>
      <c r="E147" s="10">
        <f t="shared" si="11"/>
        <v>-28.954025745861315</v>
      </c>
      <c r="F147" s="10">
        <f t="shared" si="13"/>
        <v>-27.764261231410131</v>
      </c>
      <c r="G147" s="10">
        <f t="shared" si="14"/>
        <v>-36.806105023821132</v>
      </c>
    </row>
    <row r="148" spans="1:7">
      <c r="A148" t="s">
        <v>106</v>
      </c>
      <c r="B148" s="13">
        <f>SUM(B142:B147)</f>
        <v>-12961230815.119999</v>
      </c>
      <c r="C148" s="13">
        <f>SUM(C142:C147)</f>
        <v>-16228633552.25</v>
      </c>
      <c r="D148" s="13">
        <f t="shared" si="12"/>
        <v>3267402737.1300011</v>
      </c>
      <c r="E148" s="10">
        <f t="shared" si="11"/>
        <v>-20.133566554511276</v>
      </c>
      <c r="F148" s="10">
        <f t="shared" si="13"/>
        <v>-78.411540370006549</v>
      </c>
      <c r="G148" s="10">
        <f t="shared" si="14"/>
        <v>-92.467455691410763</v>
      </c>
    </row>
    <row r="149" spans="1:7" ht="13.8" thickBot="1">
      <c r="A149" t="s">
        <v>107</v>
      </c>
      <c r="B149" s="15">
        <f>+B138+B148</f>
        <v>-16529749006.279999</v>
      </c>
      <c r="C149" s="15">
        <f>+C138+C148</f>
        <v>-17550643554.43</v>
      </c>
      <c r="D149" s="15">
        <f t="shared" si="12"/>
        <v>1020894548.1500015</v>
      </c>
      <c r="E149" s="10">
        <f t="shared" si="11"/>
        <v>-5.8168496498939781</v>
      </c>
      <c r="F149" s="10">
        <f t="shared" si="13"/>
        <v>-99.999999999999986</v>
      </c>
      <c r="G149" s="10">
        <f t="shared" si="14"/>
        <v>-100</v>
      </c>
    </row>
    <row r="150" spans="1:7" ht="13.8" thickTop="1">
      <c r="B150" s="11"/>
      <c r="C150" s="11"/>
      <c r="D150" s="11"/>
      <c r="E150" s="10"/>
      <c r="F150" s="10"/>
      <c r="G150" s="10"/>
    </row>
    <row r="151" spans="1:7">
      <c r="A151" t="s">
        <v>108</v>
      </c>
      <c r="B151" s="11">
        <f>-B89</f>
        <v>-1150924632</v>
      </c>
      <c r="C151" s="11">
        <f>-C89</f>
        <v>-738273532.44000006</v>
      </c>
      <c r="D151" s="11">
        <f t="shared" si="12"/>
        <v>-412651099.55999994</v>
      </c>
      <c r="E151" s="10">
        <f>+D151/C151*100</f>
        <v>55.894066552295961</v>
      </c>
      <c r="F151" s="10">
        <f t="shared" si="13"/>
        <v>-6.9627471751854157</v>
      </c>
      <c r="G151" s="10">
        <f t="shared" si="14"/>
        <v>-4.2065325419571327</v>
      </c>
    </row>
    <row r="152" spans="1:7">
      <c r="A152" t="s">
        <v>109</v>
      </c>
      <c r="B152" s="11">
        <f>-B90</f>
        <v>-27712900</v>
      </c>
      <c r="C152" s="11">
        <f>-C90</f>
        <v>-17117463</v>
      </c>
      <c r="D152" s="11">
        <f t="shared" si="12"/>
        <v>-10595437</v>
      </c>
      <c r="E152" s="10">
        <f>+D152/C152*100</f>
        <v>61.898407491811135</v>
      </c>
      <c r="F152" s="10">
        <f t="shared" si="13"/>
        <v>-0.16765469330158178</v>
      </c>
      <c r="G152" s="10">
        <f t="shared" si="14"/>
        <v>-9.7531825239988643E-2</v>
      </c>
    </row>
    <row r="154" spans="1:7">
      <c r="B154" s="11">
        <f>+B87+B149</f>
        <v>0</v>
      </c>
      <c r="C154" s="11">
        <f>+C87+C149</f>
        <v>0</v>
      </c>
    </row>
    <row r="155" spans="1:7">
      <c r="B155" s="11"/>
      <c r="C155" s="11"/>
    </row>
  </sheetData>
  <mergeCells count="2">
    <mergeCell ref="A3:G3"/>
    <mergeCell ref="A4:G4"/>
  </mergeCells>
  <phoneticPr fontId="0" type="noConversion"/>
  <pageMargins left="0.75" right="0.75" top="1" bottom="1" header="0" footer="0"/>
  <pageSetup scale="73" orientation="portrait" horizontalDpi="300" verticalDpi="144" r:id="rId1"/>
  <headerFooter alignWithMargins="0"/>
  <rowBreaks count="2" manualBreakCount="2">
    <brk id="75" max="6" man="1"/>
    <brk id="13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0"/>
  <sheetViews>
    <sheetView topLeftCell="A11" zoomScale="75" workbookViewId="0">
      <selection activeCell="D33" sqref="D33"/>
    </sheetView>
  </sheetViews>
  <sheetFormatPr baseColWidth="10" defaultColWidth="11.44140625" defaultRowHeight="13.2"/>
  <cols>
    <col min="1" max="1" width="36.44140625" customWidth="1"/>
    <col min="2" max="3" width="13.33203125" bestFit="1" customWidth="1"/>
    <col min="4" max="4" width="14.33203125" customWidth="1"/>
    <col min="5" max="5" width="7.6640625" customWidth="1"/>
    <col min="6" max="6" width="6.6640625" customWidth="1"/>
    <col min="7" max="7" width="6.5546875" customWidth="1"/>
  </cols>
  <sheetData>
    <row r="3" spans="1:7" ht="22.8">
      <c r="B3" s="132" t="s">
        <v>371</v>
      </c>
      <c r="C3" s="132"/>
      <c r="D3" s="132"/>
      <c r="E3" s="132"/>
    </row>
    <row r="4" spans="1:7" ht="22.8">
      <c r="B4" s="132" t="s">
        <v>146</v>
      </c>
      <c r="C4" s="132"/>
      <c r="D4" s="132"/>
      <c r="E4" s="132"/>
    </row>
    <row r="5" spans="1:7">
      <c r="B5" s="1"/>
      <c r="C5" s="1"/>
    </row>
    <row r="6" spans="1:7">
      <c r="A6" s="2"/>
      <c r="B6" s="18">
        <v>36526</v>
      </c>
      <c r="C6" s="18">
        <v>36161</v>
      </c>
      <c r="D6" s="3" t="s">
        <v>111</v>
      </c>
      <c r="E6" s="83" t="s">
        <v>111</v>
      </c>
      <c r="F6" s="83" t="s">
        <v>145</v>
      </c>
      <c r="G6" s="84" t="s">
        <v>145</v>
      </c>
    </row>
    <row r="7" spans="1:7">
      <c r="A7" s="19" t="s">
        <v>148</v>
      </c>
      <c r="B7" s="17">
        <v>36831</v>
      </c>
      <c r="C7" s="17">
        <v>36465</v>
      </c>
      <c r="D7" s="16" t="s">
        <v>143</v>
      </c>
      <c r="E7" s="85" t="s">
        <v>144</v>
      </c>
      <c r="F7" s="85" t="s">
        <v>113</v>
      </c>
      <c r="G7" s="86" t="s">
        <v>113</v>
      </c>
    </row>
    <row r="8" spans="1:7">
      <c r="A8" s="5"/>
      <c r="B8" s="6"/>
      <c r="C8" s="6"/>
      <c r="D8" s="6"/>
      <c r="E8" s="87"/>
      <c r="F8" s="87">
        <v>2000</v>
      </c>
      <c r="G8" s="88">
        <v>1999</v>
      </c>
    </row>
    <row r="10" spans="1:7">
      <c r="A10" t="s">
        <v>372</v>
      </c>
      <c r="B10" s="11">
        <v>-1076497851</v>
      </c>
      <c r="C10" s="11">
        <v>-753310423</v>
      </c>
      <c r="D10" s="14">
        <f>+B10-C10</f>
        <v>-323187428</v>
      </c>
      <c r="E10" s="10">
        <f>+D10/C10*100</f>
        <v>42.902290759887705</v>
      </c>
      <c r="F10" s="10">
        <f>+B10/$B$14*100</f>
        <v>13.72470482161042</v>
      </c>
      <c r="G10" s="10">
        <f>+C10/$C$14*100</f>
        <v>11.400863780569201</v>
      </c>
    </row>
    <row r="11" spans="1:7">
      <c r="A11" t="s">
        <v>374</v>
      </c>
      <c r="B11" s="12">
        <v>-6950873029</v>
      </c>
      <c r="C11" s="12">
        <v>-5972463826</v>
      </c>
      <c r="D11" s="14">
        <f t="shared" ref="D11:D49" si="0">+B11-C11</f>
        <v>-978409203</v>
      </c>
      <c r="E11" s="10">
        <f t="shared" ref="E11:E49" si="1">+D11/C11*100</f>
        <v>16.382002997501285</v>
      </c>
      <c r="F11" s="10">
        <f t="shared" ref="F11:F49" si="2">+B11/$B$14*100</f>
        <v>88.619480742017871</v>
      </c>
      <c r="G11" s="10">
        <f t="shared" ref="G11:G49" si="3">+C11/$C$14*100</f>
        <v>90.389359334011445</v>
      </c>
    </row>
    <row r="12" spans="1:7">
      <c r="A12" t="s">
        <v>117</v>
      </c>
      <c r="B12" s="11">
        <f>SUM(B10:B11)</f>
        <v>-8027370880</v>
      </c>
      <c r="C12" s="11">
        <f>SUM(C10:C11)</f>
        <v>-6725774249</v>
      </c>
      <c r="D12" s="14">
        <f t="shared" si="0"/>
        <v>-1301596631</v>
      </c>
      <c r="E12" s="10">
        <f t="shared" si="1"/>
        <v>19.352368706004722</v>
      </c>
      <c r="F12" s="10">
        <f t="shared" si="2"/>
        <v>102.3441855636283</v>
      </c>
      <c r="G12" s="10">
        <f t="shared" si="3"/>
        <v>101.79022311458064</v>
      </c>
    </row>
    <row r="13" spans="1:7">
      <c r="A13" t="s">
        <v>118</v>
      </c>
      <c r="B13" s="12">
        <v>183866302</v>
      </c>
      <c r="C13" s="12">
        <v>118288733</v>
      </c>
      <c r="D13" s="14">
        <f t="shared" si="0"/>
        <v>65577569</v>
      </c>
      <c r="E13" s="10">
        <f t="shared" si="1"/>
        <v>55.438558970785493</v>
      </c>
      <c r="F13" s="10">
        <f t="shared" si="2"/>
        <v>-2.3441855636282893</v>
      </c>
      <c r="G13" s="10">
        <f t="shared" si="3"/>
        <v>-1.790223114580642</v>
      </c>
    </row>
    <row r="14" spans="1:7">
      <c r="A14" t="s">
        <v>119</v>
      </c>
      <c r="B14" s="11">
        <f>SUM(B12:B13)</f>
        <v>-7843504578</v>
      </c>
      <c r="C14" s="11">
        <f>SUM(C12:C13)</f>
        <v>-6607485516</v>
      </c>
      <c r="D14" s="14">
        <f t="shared" si="0"/>
        <v>-1236019062</v>
      </c>
      <c r="E14" s="10">
        <f t="shared" si="1"/>
        <v>18.706345386713068</v>
      </c>
      <c r="F14" s="10">
        <f t="shared" si="2"/>
        <v>100</v>
      </c>
      <c r="G14" s="10">
        <f t="shared" si="3"/>
        <v>100</v>
      </c>
    </row>
    <row r="15" spans="1:7">
      <c r="A15" t="s">
        <v>120</v>
      </c>
      <c r="B15" s="12">
        <v>4652289110.5799999</v>
      </c>
      <c r="C15" s="12">
        <v>3596260153.04</v>
      </c>
      <c r="D15" s="14">
        <f t="shared" si="0"/>
        <v>1056028957.54</v>
      </c>
      <c r="E15" s="10">
        <f t="shared" si="1"/>
        <v>29.364643062524685</v>
      </c>
      <c r="F15" s="10">
        <f t="shared" si="2"/>
        <v>-59.313908270405804</v>
      </c>
      <c r="G15" s="10">
        <f t="shared" si="3"/>
        <v>-54.427060707612149</v>
      </c>
    </row>
    <row r="16" spans="1:7">
      <c r="A16" t="s">
        <v>121</v>
      </c>
      <c r="B16" s="11">
        <f>SUM(B14:B15)</f>
        <v>-3191215467.4200001</v>
      </c>
      <c r="C16" s="11">
        <f>SUM(C14:C15)</f>
        <v>-3011225362.96</v>
      </c>
      <c r="D16" s="14">
        <f t="shared" si="0"/>
        <v>-179990104.46000004</v>
      </c>
      <c r="E16" s="10">
        <f t="shared" si="1"/>
        <v>5.9773043450680765</v>
      </c>
      <c r="F16" s="10">
        <f t="shared" si="2"/>
        <v>40.686091729594196</v>
      </c>
      <c r="G16" s="10">
        <f t="shared" si="3"/>
        <v>45.572939292387851</v>
      </c>
    </row>
    <row r="17" spans="1:7">
      <c r="B17" s="11"/>
      <c r="C17" s="11"/>
      <c r="D17" s="14"/>
      <c r="E17" s="10"/>
      <c r="F17" s="10"/>
      <c r="G17" s="10"/>
    </row>
    <row r="18" spans="1:7">
      <c r="A18" t="s">
        <v>122</v>
      </c>
      <c r="B18" s="11"/>
      <c r="C18" s="11"/>
      <c r="D18" s="14"/>
      <c r="E18" s="10"/>
      <c r="F18" s="10"/>
      <c r="G18" s="10"/>
    </row>
    <row r="19" spans="1:7">
      <c r="A19" t="s">
        <v>123</v>
      </c>
      <c r="B19" s="11"/>
      <c r="C19" s="11"/>
      <c r="D19" s="14"/>
      <c r="E19" s="10"/>
      <c r="F19" s="10"/>
      <c r="G19" s="10"/>
    </row>
    <row r="20" spans="1:7">
      <c r="A20" t="s">
        <v>124</v>
      </c>
      <c r="B20" s="11">
        <v>560126618</v>
      </c>
      <c r="C20" s="11">
        <v>553100704</v>
      </c>
      <c r="D20" s="14">
        <f t="shared" si="0"/>
        <v>7025914</v>
      </c>
      <c r="E20" s="10">
        <f t="shared" si="1"/>
        <v>1.2702775370179242</v>
      </c>
      <c r="F20" s="10">
        <f t="shared" si="2"/>
        <v>-7.1412799269739908</v>
      </c>
      <c r="G20" s="10">
        <f t="shared" si="3"/>
        <v>-8.370819771918816</v>
      </c>
    </row>
    <row r="21" spans="1:7">
      <c r="A21" t="s">
        <v>125</v>
      </c>
      <c r="B21" s="12">
        <v>352780174.81</v>
      </c>
      <c r="C21" s="12">
        <v>148137352.47</v>
      </c>
      <c r="D21" s="14">
        <f t="shared" si="0"/>
        <v>204642822.34</v>
      </c>
      <c r="E21" s="10">
        <f t="shared" si="1"/>
        <v>138.1439717450352</v>
      </c>
      <c r="F21" s="10">
        <f t="shared" si="2"/>
        <v>-4.4977365832041718</v>
      </c>
      <c r="G21" s="10">
        <f t="shared" si="3"/>
        <v>-2.2419625757981003</v>
      </c>
    </row>
    <row r="22" spans="1:7">
      <c r="A22" t="s">
        <v>126</v>
      </c>
      <c r="B22" s="13">
        <f>SUM(B20:B21)</f>
        <v>912906792.80999994</v>
      </c>
      <c r="C22" s="13">
        <f>SUM(C20:C21)</f>
        <v>701238056.47000003</v>
      </c>
      <c r="D22" s="14">
        <f t="shared" si="0"/>
        <v>211668736.33999991</v>
      </c>
      <c r="E22" s="10">
        <f t="shared" si="1"/>
        <v>30.185004134762817</v>
      </c>
      <c r="F22" s="10">
        <f t="shared" si="2"/>
        <v>-11.639016510178161</v>
      </c>
      <c r="G22" s="10">
        <f t="shared" si="3"/>
        <v>-10.612782347716916</v>
      </c>
    </row>
    <row r="23" spans="1:7">
      <c r="B23" s="11"/>
      <c r="C23" s="11"/>
      <c r="D23" s="14"/>
      <c r="E23" s="10"/>
      <c r="F23" s="10"/>
      <c r="G23" s="10"/>
    </row>
    <row r="24" spans="1:7">
      <c r="A24" t="s">
        <v>127</v>
      </c>
      <c r="B24" s="11"/>
      <c r="C24" s="11"/>
      <c r="D24" s="14"/>
      <c r="E24" s="10"/>
      <c r="F24" s="10"/>
      <c r="G24" s="10"/>
    </row>
    <row r="25" spans="1:7">
      <c r="A25" t="s">
        <v>124</v>
      </c>
      <c r="B25" s="11">
        <v>97617163</v>
      </c>
      <c r="C25" s="11">
        <v>48133374</v>
      </c>
      <c r="D25" s="14">
        <f t="shared" si="0"/>
        <v>49483789</v>
      </c>
      <c r="E25" s="10">
        <f t="shared" si="1"/>
        <v>102.80556895928383</v>
      </c>
      <c r="F25" s="10">
        <f t="shared" si="2"/>
        <v>-1.2445605408812193</v>
      </c>
      <c r="G25" s="10">
        <f t="shared" si="3"/>
        <v>-0.72846734031342519</v>
      </c>
    </row>
    <row r="26" spans="1:7">
      <c r="A26" t="s">
        <v>125</v>
      </c>
      <c r="B26" s="12">
        <v>1020503966</v>
      </c>
      <c r="C26" s="12">
        <v>686933398</v>
      </c>
      <c r="D26" s="14">
        <f t="shared" si="0"/>
        <v>333570568</v>
      </c>
      <c r="E26" s="10">
        <f t="shared" si="1"/>
        <v>48.559375475291709</v>
      </c>
      <c r="F26" s="10">
        <f t="shared" si="2"/>
        <v>-13.010816221901361</v>
      </c>
      <c r="G26" s="10">
        <f t="shared" si="3"/>
        <v>-10.396290636378898</v>
      </c>
    </row>
    <row r="27" spans="1:7">
      <c r="A27" t="s">
        <v>128</v>
      </c>
      <c r="B27" s="13">
        <f>SUM(B25:B26)</f>
        <v>1118121129</v>
      </c>
      <c r="C27" s="13">
        <f>SUM(C25:C26)</f>
        <v>735066772</v>
      </c>
      <c r="D27" s="14">
        <f t="shared" si="0"/>
        <v>383054357</v>
      </c>
      <c r="E27" s="10">
        <f t="shared" si="1"/>
        <v>52.111504912372773</v>
      </c>
      <c r="F27" s="10">
        <f t="shared" si="2"/>
        <v>-14.255376762782582</v>
      </c>
      <c r="G27" s="10">
        <f t="shared" si="3"/>
        <v>-11.124757976692324</v>
      </c>
    </row>
    <row r="28" spans="1:7">
      <c r="A28" t="s">
        <v>129</v>
      </c>
      <c r="B28" s="13">
        <f>+B22+B27</f>
        <v>2031027921.8099999</v>
      </c>
      <c r="C28" s="13">
        <f>+C22+C27</f>
        <v>1436304828.47</v>
      </c>
      <c r="D28" s="14">
        <f t="shared" si="0"/>
        <v>594723093.33999991</v>
      </c>
      <c r="E28" s="10">
        <f t="shared" si="1"/>
        <v>41.406467593200176</v>
      </c>
      <c r="F28" s="10">
        <f t="shared" si="2"/>
        <v>-25.894393272960741</v>
      </c>
      <c r="G28" s="10">
        <f t="shared" si="3"/>
        <v>-21.737540324409242</v>
      </c>
    </row>
    <row r="29" spans="1:7">
      <c r="A29" t="s">
        <v>130</v>
      </c>
      <c r="B29" s="11">
        <f>+B16+B28</f>
        <v>-1160187545.6100001</v>
      </c>
      <c r="C29" s="11">
        <f>+C16+C28</f>
        <v>-1574920534.49</v>
      </c>
      <c r="D29" s="14">
        <f t="shared" si="0"/>
        <v>414732988.87999988</v>
      </c>
      <c r="E29" s="10">
        <f t="shared" si="1"/>
        <v>-26.3335819044547</v>
      </c>
      <c r="F29" s="10">
        <f t="shared" si="2"/>
        <v>14.791698456633451</v>
      </c>
      <c r="G29" s="10">
        <f t="shared" si="3"/>
        <v>23.835398967978609</v>
      </c>
    </row>
    <row r="30" spans="1:7">
      <c r="B30" s="11"/>
      <c r="C30" s="11"/>
      <c r="D30" s="14"/>
      <c r="E30" s="10"/>
      <c r="F30" s="10"/>
      <c r="G30" s="10"/>
    </row>
    <row r="31" spans="1:7">
      <c r="A31" t="s">
        <v>131</v>
      </c>
      <c r="B31" s="11"/>
      <c r="C31" s="11"/>
      <c r="D31" s="14"/>
      <c r="E31" s="10"/>
      <c r="F31" s="10"/>
      <c r="G31" s="10"/>
    </row>
    <row r="32" spans="1:7">
      <c r="A32" t="s">
        <v>132</v>
      </c>
      <c r="B32" s="11">
        <v>-13459276</v>
      </c>
      <c r="C32" s="11">
        <v>-9064773</v>
      </c>
      <c r="D32" s="14">
        <f t="shared" si="0"/>
        <v>-4394503</v>
      </c>
      <c r="E32" s="10">
        <f t="shared" si="1"/>
        <v>48.478908407303742</v>
      </c>
      <c r="F32" s="10">
        <f t="shared" si="2"/>
        <v>0.17159773244413601</v>
      </c>
      <c r="G32" s="10">
        <f t="shared" si="3"/>
        <v>0.13718944942141287</v>
      </c>
    </row>
    <row r="33" spans="1:7">
      <c r="A33" t="s">
        <v>133</v>
      </c>
      <c r="B33" s="11">
        <v>-1112278383</v>
      </c>
      <c r="C33" s="11">
        <v>-1190859154.02</v>
      </c>
      <c r="D33" s="14">
        <f t="shared" si="0"/>
        <v>78580771.019999981</v>
      </c>
      <c r="E33" s="10">
        <f t="shared" si="1"/>
        <v>-6.5986620461986432</v>
      </c>
      <c r="F33" s="10">
        <f t="shared" si="2"/>
        <v>14.180885239995842</v>
      </c>
      <c r="G33" s="10">
        <f t="shared" si="3"/>
        <v>18.022879522570868</v>
      </c>
    </row>
    <row r="34" spans="1:7">
      <c r="A34" t="s">
        <v>134</v>
      </c>
      <c r="B34" s="12">
        <v>-432189008</v>
      </c>
      <c r="C34" s="12">
        <v>-154696647.16</v>
      </c>
      <c r="D34" s="14">
        <f t="shared" si="0"/>
        <v>-277492360.84000003</v>
      </c>
      <c r="E34" s="10">
        <f t="shared" si="1"/>
        <v>179.3783937366106</v>
      </c>
      <c r="F34" s="10">
        <f t="shared" si="2"/>
        <v>5.510151791231606</v>
      </c>
      <c r="G34" s="10">
        <f t="shared" si="3"/>
        <v>2.3412332389590969</v>
      </c>
    </row>
    <row r="35" spans="1:7">
      <c r="A35" t="s">
        <v>135</v>
      </c>
      <c r="B35" s="11">
        <f>SUM(B32:B34)</f>
        <v>-1557926667</v>
      </c>
      <c r="C35" s="11">
        <f>SUM(C32:C34)</f>
        <v>-1354620574.1800001</v>
      </c>
      <c r="D35" s="14">
        <f t="shared" si="0"/>
        <v>-203306092.81999993</v>
      </c>
      <c r="E35" s="10">
        <f t="shared" si="1"/>
        <v>15.008342313349871</v>
      </c>
      <c r="F35" s="10">
        <f t="shared" si="2"/>
        <v>19.862634763671583</v>
      </c>
      <c r="G35" s="10">
        <f t="shared" si="3"/>
        <v>20.501302210951376</v>
      </c>
    </row>
    <row r="36" spans="1:7">
      <c r="B36" s="11"/>
      <c r="C36" s="11"/>
      <c r="D36" s="14"/>
      <c r="E36" s="10"/>
      <c r="F36" s="10"/>
      <c r="G36" s="10"/>
    </row>
    <row r="37" spans="1:7">
      <c r="A37" t="s">
        <v>136</v>
      </c>
      <c r="B37" s="11"/>
      <c r="C37" s="11"/>
      <c r="D37" s="14"/>
      <c r="E37" s="10"/>
      <c r="F37" s="10"/>
      <c r="G37" s="10"/>
    </row>
    <row r="38" spans="1:7">
      <c r="A38" t="s">
        <v>133</v>
      </c>
      <c r="B38" s="11">
        <v>512052953.27999997</v>
      </c>
      <c r="C38" s="11">
        <v>442182215.01999998</v>
      </c>
      <c r="D38" s="14">
        <f t="shared" si="0"/>
        <v>69870738.25999999</v>
      </c>
      <c r="E38" s="10">
        <f t="shared" si="1"/>
        <v>15.801345211688291</v>
      </c>
      <c r="F38" s="10">
        <f t="shared" si="2"/>
        <v>-6.52836940665836</v>
      </c>
      <c r="G38" s="10">
        <f t="shared" si="3"/>
        <v>-6.692140511685686</v>
      </c>
    </row>
    <row r="39" spans="1:7">
      <c r="A39" t="s">
        <v>137</v>
      </c>
      <c r="B39" s="13">
        <f>SUM(B38)</f>
        <v>512052953.27999997</v>
      </c>
      <c r="C39" s="13">
        <f>SUM(C38)</f>
        <v>442182215.01999998</v>
      </c>
      <c r="D39" s="14">
        <f t="shared" si="0"/>
        <v>69870738.25999999</v>
      </c>
      <c r="E39" s="10">
        <f t="shared" si="1"/>
        <v>15.801345211688291</v>
      </c>
      <c r="F39" s="10">
        <f t="shared" si="2"/>
        <v>-6.52836940665836</v>
      </c>
      <c r="G39" s="10">
        <f t="shared" si="3"/>
        <v>-6.692140511685686</v>
      </c>
    </row>
    <row r="40" spans="1:7">
      <c r="B40" s="13"/>
      <c r="C40" s="13"/>
      <c r="D40" s="14"/>
      <c r="E40" s="10"/>
      <c r="F40" s="10"/>
      <c r="G40" s="10"/>
    </row>
    <row r="41" spans="1:7">
      <c r="A41" t="s">
        <v>138</v>
      </c>
      <c r="B41" s="13">
        <f>+B35+B39</f>
        <v>-1045873713.72</v>
      </c>
      <c r="C41" s="13">
        <f>+C35+C39</f>
        <v>-912438359.16000009</v>
      </c>
      <c r="D41" s="14">
        <f t="shared" si="0"/>
        <v>-133435354.55999994</v>
      </c>
      <c r="E41" s="10">
        <f t="shared" si="1"/>
        <v>14.624040431930313</v>
      </c>
      <c r="F41" s="10">
        <f t="shared" si="2"/>
        <v>13.334265357013219</v>
      </c>
      <c r="G41" s="10">
        <f t="shared" si="3"/>
        <v>13.809161699265694</v>
      </c>
    </row>
    <row r="42" spans="1:7">
      <c r="B42" s="14"/>
      <c r="C42" s="14"/>
      <c r="D42" s="14"/>
      <c r="E42" s="10"/>
      <c r="F42" s="10"/>
      <c r="G42" s="10"/>
    </row>
    <row r="43" spans="1:7">
      <c r="A43" t="s">
        <v>139</v>
      </c>
      <c r="B43" s="11">
        <f>+B29+B41</f>
        <v>-2206061259.3299999</v>
      </c>
      <c r="C43" s="11">
        <f>+C29+C41</f>
        <v>-2487358893.6500001</v>
      </c>
      <c r="D43" s="14">
        <f t="shared" si="0"/>
        <v>281297634.32000017</v>
      </c>
      <c r="E43" s="10">
        <f t="shared" si="1"/>
        <v>-11.309089132176595</v>
      </c>
      <c r="F43" s="10">
        <f t="shared" si="2"/>
        <v>28.125963813646671</v>
      </c>
      <c r="G43" s="10">
        <f t="shared" si="3"/>
        <v>37.644560667244299</v>
      </c>
    </row>
    <row r="44" spans="1:7">
      <c r="B44" s="11"/>
      <c r="C44" s="11"/>
      <c r="D44" s="14"/>
      <c r="E44" s="10"/>
      <c r="F44" s="10"/>
      <c r="G44" s="10"/>
    </row>
    <row r="45" spans="1:7">
      <c r="A45" t="s">
        <v>30</v>
      </c>
      <c r="B45" s="12">
        <v>392948442</v>
      </c>
      <c r="C45" s="12">
        <v>343161566</v>
      </c>
      <c r="D45" s="14">
        <f t="shared" si="0"/>
        <v>49786876</v>
      </c>
      <c r="E45" s="10">
        <f t="shared" si="1"/>
        <v>14.508290243669069</v>
      </c>
      <c r="F45" s="10">
        <f t="shared" si="2"/>
        <v>-5.0098580053381845</v>
      </c>
      <c r="G45" s="10">
        <f t="shared" si="3"/>
        <v>-5.1935273284978924</v>
      </c>
    </row>
    <row r="46" spans="1:7">
      <c r="A46" t="s">
        <v>140</v>
      </c>
      <c r="B46" s="11">
        <f>SUM(B43:B45)</f>
        <v>-1813112817.3299999</v>
      </c>
      <c r="C46" s="11">
        <f>SUM(C43:C45)</f>
        <v>-2144197327.6500001</v>
      </c>
      <c r="D46" s="14">
        <f t="shared" si="0"/>
        <v>331084510.32000017</v>
      </c>
      <c r="E46" s="10">
        <f t="shared" si="1"/>
        <v>-15.440953407159711</v>
      </c>
      <c r="F46" s="10">
        <f t="shared" si="2"/>
        <v>23.116105808308486</v>
      </c>
      <c r="G46" s="10">
        <f t="shared" si="3"/>
        <v>32.451033338746413</v>
      </c>
    </row>
    <row r="47" spans="1:7">
      <c r="B47" s="11"/>
      <c r="C47" s="11"/>
      <c r="D47" s="14"/>
      <c r="E47" s="10"/>
      <c r="F47" s="10"/>
      <c r="G47" s="10"/>
    </row>
    <row r="48" spans="1:7">
      <c r="A48" t="s">
        <v>141</v>
      </c>
      <c r="B48" s="12">
        <v>118785000</v>
      </c>
      <c r="C48" s="12">
        <v>0</v>
      </c>
      <c r="D48" s="14"/>
      <c r="E48" s="10"/>
      <c r="F48" s="10"/>
      <c r="G48" s="10"/>
    </row>
    <row r="49" spans="1:7" ht="13.8" thickBot="1">
      <c r="A49" t="s">
        <v>142</v>
      </c>
      <c r="B49" s="15">
        <f>SUM(B46:B48)</f>
        <v>-1694327817.3299999</v>
      </c>
      <c r="C49" s="15">
        <f>SUM(C46:C48)</f>
        <v>-2144197327.6500001</v>
      </c>
      <c r="D49" s="14">
        <f t="shared" si="0"/>
        <v>449869510.32000017</v>
      </c>
      <c r="E49" s="10">
        <f t="shared" si="1"/>
        <v>-20.980788685761897</v>
      </c>
      <c r="F49" s="10">
        <f t="shared" si="2"/>
        <v>21.601667985027596</v>
      </c>
      <c r="G49" s="10">
        <f t="shared" si="3"/>
        <v>32.451033338746413</v>
      </c>
    </row>
    <row r="50" spans="1:7" ht="13.8" thickTop="1"/>
  </sheetData>
  <mergeCells count="2">
    <mergeCell ref="B3:E3"/>
    <mergeCell ref="B4:E4"/>
  </mergeCells>
  <phoneticPr fontId="0" type="noConversion"/>
  <printOptions verticalCentered="1"/>
  <pageMargins left="0.19685039370078741" right="0.19685039370078741" top="0.78740157480314965" bottom="0.78740157480314965" header="0" footer="0"/>
  <pageSetup orientation="portrait" horizontalDpi="120" verticalDpi="144" copies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0"/>
  <sheetViews>
    <sheetView view="pageBreakPreview" topLeftCell="A2" zoomScale="60" zoomScaleNormal="100" workbookViewId="0">
      <selection activeCell="B3" sqref="B3:E3"/>
    </sheetView>
  </sheetViews>
  <sheetFormatPr baseColWidth="10" defaultColWidth="11.44140625" defaultRowHeight="13.2"/>
  <cols>
    <col min="1" max="1" width="44" customWidth="1"/>
    <col min="2" max="2" width="16.6640625" customWidth="1"/>
    <col min="3" max="3" width="16.5546875" bestFit="1" customWidth="1"/>
    <col min="4" max="4" width="16.33203125" customWidth="1"/>
    <col min="5" max="5" width="12.88671875" customWidth="1"/>
    <col min="6" max="6" width="12.44140625" customWidth="1"/>
    <col min="7" max="7" width="12.88671875" customWidth="1"/>
  </cols>
  <sheetData>
    <row r="3" spans="1:7" ht="22.8">
      <c r="B3" s="132" t="s">
        <v>370</v>
      </c>
      <c r="C3" s="132"/>
      <c r="D3" s="132"/>
      <c r="E3" s="132"/>
    </row>
    <row r="4" spans="1:7" ht="22.8">
      <c r="B4" s="132" t="s">
        <v>146</v>
      </c>
      <c r="C4" s="132"/>
      <c r="D4" s="132"/>
      <c r="E4" s="132"/>
    </row>
    <row r="5" spans="1:7">
      <c r="B5" s="1"/>
      <c r="C5" s="1"/>
    </row>
    <row r="6" spans="1:7">
      <c r="A6" s="2"/>
      <c r="B6" s="18">
        <v>36526</v>
      </c>
      <c r="C6" s="18">
        <v>36161</v>
      </c>
      <c r="D6" s="3" t="s">
        <v>111</v>
      </c>
      <c r="E6" s="3" t="s">
        <v>111</v>
      </c>
      <c r="F6" s="3" t="s">
        <v>145</v>
      </c>
      <c r="G6" s="4" t="s">
        <v>145</v>
      </c>
    </row>
    <row r="7" spans="1:7">
      <c r="A7" s="19" t="s">
        <v>148</v>
      </c>
      <c r="B7" s="17">
        <v>36800</v>
      </c>
      <c r="C7" s="17">
        <v>36434</v>
      </c>
      <c r="D7" s="16" t="s">
        <v>143</v>
      </c>
      <c r="E7" s="16" t="s">
        <v>144</v>
      </c>
      <c r="F7" s="16" t="s">
        <v>113</v>
      </c>
      <c r="G7" s="20" t="s">
        <v>113</v>
      </c>
    </row>
    <row r="8" spans="1:7">
      <c r="A8" s="5"/>
      <c r="B8" s="6"/>
      <c r="C8" s="6"/>
      <c r="D8" s="6"/>
      <c r="E8" s="6"/>
      <c r="F8" s="6">
        <v>2000</v>
      </c>
      <c r="G8" s="21">
        <v>1999</v>
      </c>
    </row>
    <row r="10" spans="1:7">
      <c r="A10" t="s">
        <v>115</v>
      </c>
      <c r="B10" s="11">
        <v>-844665013</v>
      </c>
      <c r="C10" s="11">
        <v>-442632327</v>
      </c>
      <c r="D10" s="14">
        <f>+B10-C10</f>
        <v>-402032686</v>
      </c>
      <c r="E10" s="10">
        <f>+D10/C10*100</f>
        <v>90.82768281404806</v>
      </c>
      <c r="F10" s="10">
        <f>+B10/$B$14*100</f>
        <v>11.105889107621763</v>
      </c>
      <c r="G10" s="10">
        <f>+C10/$C$14*100</f>
        <v>7.0855622992776173</v>
      </c>
    </row>
    <row r="11" spans="1:7">
      <c r="A11" t="s">
        <v>116</v>
      </c>
      <c r="B11" s="12">
        <v>-6912981862.2799997</v>
      </c>
      <c r="C11" s="12">
        <v>-5885089018</v>
      </c>
      <c r="D11" s="14">
        <f t="shared" ref="D11:D49" si="0">+B11-C11</f>
        <v>-1027892844.2799997</v>
      </c>
      <c r="E11" s="10">
        <f t="shared" ref="E11:E49" si="1">+D11/C11*100</f>
        <v>17.466054313471044</v>
      </c>
      <c r="F11" s="10">
        <f t="shared" ref="F11:F49" si="2">+B11/$B$14*100</f>
        <v>90.893796693201338</v>
      </c>
      <c r="G11" s="10">
        <f t="shared" ref="G11:G49" si="3">+C11/$C$14*100</f>
        <v>94.207228731925696</v>
      </c>
    </row>
    <row r="12" spans="1:7">
      <c r="A12" t="s">
        <v>117</v>
      </c>
      <c r="B12" s="11">
        <f>SUM(B10:B11)</f>
        <v>-7757646875.2799997</v>
      </c>
      <c r="C12" s="11">
        <f>SUM(C10:C11)</f>
        <v>-6327721345</v>
      </c>
      <c r="D12" s="14">
        <f t="shared" si="0"/>
        <v>-1429925530.2799997</v>
      </c>
      <c r="E12" s="10">
        <f t="shared" si="1"/>
        <v>22.597795514650617</v>
      </c>
      <c r="F12" s="10">
        <f t="shared" si="2"/>
        <v>101.9996858008231</v>
      </c>
      <c r="G12" s="10">
        <f t="shared" si="3"/>
        <v>101.29279103120332</v>
      </c>
    </row>
    <row r="13" spans="1:7">
      <c r="A13" t="s">
        <v>118</v>
      </c>
      <c r="B13" s="12">
        <v>152087295</v>
      </c>
      <c r="C13" s="12">
        <v>80760154</v>
      </c>
      <c r="D13" s="14">
        <f t="shared" si="0"/>
        <v>71327141</v>
      </c>
      <c r="E13" s="10">
        <f t="shared" si="1"/>
        <v>88.319718904944139</v>
      </c>
      <c r="F13" s="10">
        <f t="shared" si="2"/>
        <v>-1.9996858008230984</v>
      </c>
      <c r="G13" s="10">
        <f t="shared" si="3"/>
        <v>-1.2927910312033184</v>
      </c>
    </row>
    <row r="14" spans="1:7">
      <c r="A14" t="s">
        <v>119</v>
      </c>
      <c r="B14" s="11">
        <f>SUM(B12:B13)</f>
        <v>-7605559580.2799997</v>
      </c>
      <c r="C14" s="11">
        <f>SUM(C12:C13)</f>
        <v>-6246961191</v>
      </c>
      <c r="D14" s="14">
        <f t="shared" si="0"/>
        <v>-1358598389.2799997</v>
      </c>
      <c r="E14" s="10">
        <f t="shared" si="1"/>
        <v>21.748148383526587</v>
      </c>
      <c r="F14" s="10">
        <f t="shared" si="2"/>
        <v>100</v>
      </c>
      <c r="G14" s="10">
        <f t="shared" si="3"/>
        <v>100</v>
      </c>
    </row>
    <row r="15" spans="1:7">
      <c r="A15" t="s">
        <v>120</v>
      </c>
      <c r="B15" s="12">
        <v>4442508381.7700005</v>
      </c>
      <c r="C15" s="12">
        <v>3334975324.1500001</v>
      </c>
      <c r="D15" s="14">
        <f t="shared" si="0"/>
        <v>1107533057.6200004</v>
      </c>
      <c r="E15" s="10">
        <f t="shared" si="1"/>
        <v>33.209632754997436</v>
      </c>
      <c r="F15" s="10">
        <f t="shared" si="2"/>
        <v>-58.411328382578375</v>
      </c>
      <c r="G15" s="10">
        <f t="shared" si="3"/>
        <v>-53.385561750482793</v>
      </c>
    </row>
    <row r="16" spans="1:7">
      <c r="A16" t="s">
        <v>121</v>
      </c>
      <c r="B16" s="11">
        <f>SUM(B14:B15)</f>
        <v>-3163051198.5099993</v>
      </c>
      <c r="C16" s="11">
        <f>SUM(C14:C15)</f>
        <v>-2911985866.8499999</v>
      </c>
      <c r="D16" s="14">
        <f t="shared" si="0"/>
        <v>-251065331.65999937</v>
      </c>
      <c r="E16" s="10">
        <f t="shared" si="1"/>
        <v>8.6217908719311822</v>
      </c>
      <c r="F16" s="10">
        <f t="shared" si="2"/>
        <v>41.588671617421625</v>
      </c>
      <c r="G16" s="10">
        <f t="shared" si="3"/>
        <v>46.614438249517207</v>
      </c>
    </row>
    <row r="17" spans="1:7">
      <c r="B17" s="11"/>
      <c r="C17" s="11"/>
      <c r="D17" s="14"/>
      <c r="E17" s="10"/>
      <c r="F17" s="10"/>
      <c r="G17" s="10"/>
    </row>
    <row r="18" spans="1:7">
      <c r="A18" t="s">
        <v>122</v>
      </c>
      <c r="B18" s="11"/>
      <c r="C18" s="11"/>
      <c r="D18" s="14"/>
      <c r="E18" s="10"/>
      <c r="F18" s="10"/>
      <c r="G18" s="10"/>
    </row>
    <row r="19" spans="1:7">
      <c r="A19" t="s">
        <v>123</v>
      </c>
      <c r="B19" s="11"/>
      <c r="C19" s="11"/>
      <c r="D19" s="14"/>
      <c r="E19" s="10"/>
      <c r="F19" s="10"/>
      <c r="G19" s="10"/>
    </row>
    <row r="20" spans="1:7">
      <c r="A20" t="s">
        <v>124</v>
      </c>
      <c r="B20" s="11">
        <v>522862654</v>
      </c>
      <c r="C20" s="11">
        <v>500374426</v>
      </c>
      <c r="D20" s="14">
        <f t="shared" si="0"/>
        <v>22488228</v>
      </c>
      <c r="E20" s="10">
        <f t="shared" si="1"/>
        <v>4.4942800493964494</v>
      </c>
      <c r="F20" s="10">
        <f t="shared" si="2"/>
        <v>-6.8747427257778551</v>
      </c>
      <c r="G20" s="10">
        <f t="shared" si="3"/>
        <v>-8.0098852978451287</v>
      </c>
    </row>
    <row r="21" spans="1:7">
      <c r="A21" t="s">
        <v>125</v>
      </c>
      <c r="B21" s="12">
        <v>326054747.81</v>
      </c>
      <c r="C21" s="12">
        <v>131320007.47</v>
      </c>
      <c r="D21" s="14">
        <f t="shared" si="0"/>
        <v>194734740.34</v>
      </c>
      <c r="E21" s="10">
        <f t="shared" si="1"/>
        <v>148.29022941114823</v>
      </c>
      <c r="F21" s="10">
        <f t="shared" si="2"/>
        <v>-4.2870579655362615</v>
      </c>
      <c r="G21" s="10">
        <f t="shared" si="3"/>
        <v>-2.1021422009023008</v>
      </c>
    </row>
    <row r="22" spans="1:7">
      <c r="A22" t="s">
        <v>126</v>
      </c>
      <c r="B22" s="13">
        <f>SUM(B20:B21)</f>
        <v>848917401.80999994</v>
      </c>
      <c r="C22" s="13">
        <f>SUM(C20:C21)</f>
        <v>631694433.47000003</v>
      </c>
      <c r="D22" s="14">
        <f t="shared" si="0"/>
        <v>217222968.33999991</v>
      </c>
      <c r="E22" s="10">
        <f t="shared" si="1"/>
        <v>34.387348824139366</v>
      </c>
      <c r="F22" s="10">
        <f t="shared" si="2"/>
        <v>-11.161800691314115</v>
      </c>
      <c r="G22" s="10">
        <f t="shared" si="3"/>
        <v>-10.11202749874743</v>
      </c>
    </row>
    <row r="23" spans="1:7">
      <c r="B23" s="11"/>
      <c r="C23" s="11"/>
      <c r="D23" s="14"/>
      <c r="E23" s="10"/>
      <c r="F23" s="10"/>
      <c r="G23" s="10"/>
    </row>
    <row r="24" spans="1:7">
      <c r="A24" t="s">
        <v>127</v>
      </c>
      <c r="B24" s="11"/>
      <c r="C24" s="11"/>
      <c r="D24" s="14"/>
      <c r="E24" s="10"/>
      <c r="F24" s="10"/>
      <c r="G24" s="10"/>
    </row>
    <row r="25" spans="1:7">
      <c r="A25" t="s">
        <v>124</v>
      </c>
      <c r="B25" s="11">
        <v>88704544</v>
      </c>
      <c r="C25" s="11">
        <v>43933016</v>
      </c>
      <c r="D25" s="14">
        <f t="shared" si="0"/>
        <v>44771528</v>
      </c>
      <c r="E25" s="10">
        <f t="shared" si="1"/>
        <v>101.90861469651891</v>
      </c>
      <c r="F25" s="10">
        <f t="shared" si="2"/>
        <v>-1.1663118678341131</v>
      </c>
      <c r="G25" s="10">
        <f t="shared" si="3"/>
        <v>-0.70327019260651591</v>
      </c>
    </row>
    <row r="26" spans="1:7">
      <c r="A26" t="s">
        <v>125</v>
      </c>
      <c r="B26" s="12">
        <v>976310928</v>
      </c>
      <c r="C26" s="12">
        <v>658786627</v>
      </c>
      <c r="D26" s="14">
        <f t="shared" si="0"/>
        <v>317524301</v>
      </c>
      <c r="E26" s="10">
        <f t="shared" si="1"/>
        <v>48.198352544882489</v>
      </c>
      <c r="F26" s="10">
        <f t="shared" si="2"/>
        <v>-12.836805992966227</v>
      </c>
      <c r="G26" s="10">
        <f t="shared" si="3"/>
        <v>-10.545713457434539</v>
      </c>
    </row>
    <row r="27" spans="1:7">
      <c r="A27" t="s">
        <v>128</v>
      </c>
      <c r="B27" s="13">
        <f>SUM(B25:B26)</f>
        <v>1065015472</v>
      </c>
      <c r="C27" s="13">
        <f>SUM(C25:C26)</f>
        <v>702719643</v>
      </c>
      <c r="D27" s="14">
        <f t="shared" si="0"/>
        <v>362295829</v>
      </c>
      <c r="E27" s="10">
        <f t="shared" si="1"/>
        <v>51.556240473556826</v>
      </c>
      <c r="F27" s="10">
        <f t="shared" si="2"/>
        <v>-14.003117860800341</v>
      </c>
      <c r="G27" s="10">
        <f t="shared" si="3"/>
        <v>-11.248983650041055</v>
      </c>
    </row>
    <row r="28" spans="1:7">
      <c r="A28" t="s">
        <v>129</v>
      </c>
      <c r="B28" s="13">
        <f>+B22+B27</f>
        <v>1913932873.8099999</v>
      </c>
      <c r="C28" s="13">
        <f>+C22+C27</f>
        <v>1334414076.47</v>
      </c>
      <c r="D28" s="14">
        <f t="shared" si="0"/>
        <v>579518797.33999991</v>
      </c>
      <c r="E28" s="10">
        <f t="shared" si="1"/>
        <v>43.428708341644096</v>
      </c>
      <c r="F28" s="10">
        <f t="shared" si="2"/>
        <v>-25.164918552114457</v>
      </c>
      <c r="G28" s="10">
        <f t="shared" si="3"/>
        <v>-21.361011148788485</v>
      </c>
    </row>
    <row r="29" spans="1:7">
      <c r="A29" t="s">
        <v>130</v>
      </c>
      <c r="B29" s="11">
        <f>+B16+B28</f>
        <v>-1249118324.6999993</v>
      </c>
      <c r="C29" s="11">
        <f>+C16+C28</f>
        <v>-1577571790.3799999</v>
      </c>
      <c r="D29" s="14">
        <f t="shared" si="0"/>
        <v>328453465.68000054</v>
      </c>
      <c r="E29" s="10">
        <f t="shared" si="1"/>
        <v>-20.820191365166579</v>
      </c>
      <c r="F29" s="10">
        <f t="shared" si="2"/>
        <v>16.423753065307167</v>
      </c>
      <c r="G29" s="10">
        <f t="shared" si="3"/>
        <v>25.253427100728725</v>
      </c>
    </row>
    <row r="30" spans="1:7">
      <c r="B30" s="11"/>
      <c r="C30" s="11"/>
      <c r="D30" s="14"/>
      <c r="E30" s="10"/>
      <c r="F30" s="10"/>
      <c r="G30" s="10"/>
    </row>
    <row r="31" spans="1:7">
      <c r="A31" t="s">
        <v>131</v>
      </c>
      <c r="B31" s="11"/>
      <c r="C31" s="11"/>
      <c r="D31" s="14"/>
      <c r="E31" s="10"/>
      <c r="F31" s="10"/>
      <c r="G31" s="10"/>
    </row>
    <row r="32" spans="1:7">
      <c r="A32" t="s">
        <v>132</v>
      </c>
      <c r="B32" s="11">
        <v>-11508376</v>
      </c>
      <c r="C32" s="11">
        <v>-9064773</v>
      </c>
      <c r="D32" s="14">
        <f t="shared" si="0"/>
        <v>-2443603</v>
      </c>
      <c r="E32" s="10">
        <f t="shared" si="1"/>
        <v>26.957133951396244</v>
      </c>
      <c r="F32" s="10">
        <f t="shared" si="2"/>
        <v>0.1513153092619165</v>
      </c>
      <c r="G32" s="10">
        <f t="shared" si="3"/>
        <v>0.14510692035448569</v>
      </c>
    </row>
    <row r="33" spans="1:7">
      <c r="A33" t="s">
        <v>133</v>
      </c>
      <c r="B33" s="11">
        <v>-1042327104.2</v>
      </c>
      <c r="C33" s="11">
        <v>-1158237892.1900001</v>
      </c>
      <c r="D33" s="14">
        <f t="shared" si="0"/>
        <v>115910787.99000001</v>
      </c>
      <c r="E33" s="10">
        <f t="shared" si="1"/>
        <v>-10.007511304161834</v>
      </c>
      <c r="F33" s="10">
        <f t="shared" si="2"/>
        <v>13.704804928523441</v>
      </c>
      <c r="G33" s="10">
        <f t="shared" si="3"/>
        <v>18.540820997234206</v>
      </c>
    </row>
    <row r="34" spans="1:7">
      <c r="A34" t="s">
        <v>134</v>
      </c>
      <c r="B34" s="12">
        <v>-409178622.87</v>
      </c>
      <c r="C34" s="12">
        <v>-152471785.16</v>
      </c>
      <c r="D34" s="14">
        <f t="shared" si="0"/>
        <v>-256706837.71000001</v>
      </c>
      <c r="E34" s="10">
        <f t="shared" si="1"/>
        <v>168.36350242808427</v>
      </c>
      <c r="F34" s="10">
        <f t="shared" si="2"/>
        <v>5.3799936553115009</v>
      </c>
      <c r="G34" s="10">
        <f t="shared" si="3"/>
        <v>2.4407352710893444</v>
      </c>
    </row>
    <row r="35" spans="1:7">
      <c r="A35" t="s">
        <v>135</v>
      </c>
      <c r="B35" s="11">
        <f>SUM(B32:B34)</f>
        <v>-1463014103.0700002</v>
      </c>
      <c r="C35" s="11">
        <f>SUM(C32:C34)</f>
        <v>-1319774450.3500001</v>
      </c>
      <c r="D35" s="14">
        <f t="shared" si="0"/>
        <v>-143239652.72000003</v>
      </c>
      <c r="E35" s="10">
        <f t="shared" si="1"/>
        <v>10.85334336348255</v>
      </c>
      <c r="F35" s="10">
        <f t="shared" si="2"/>
        <v>19.23611389309686</v>
      </c>
      <c r="G35" s="10">
        <f t="shared" si="3"/>
        <v>21.126663188678037</v>
      </c>
    </row>
    <row r="36" spans="1:7">
      <c r="B36" s="11"/>
      <c r="C36" s="11"/>
      <c r="D36" s="14"/>
      <c r="E36" s="10"/>
      <c r="F36" s="10"/>
      <c r="G36" s="10"/>
    </row>
    <row r="37" spans="1:7">
      <c r="A37" t="s">
        <v>136</v>
      </c>
      <c r="B37" s="11"/>
      <c r="C37" s="11"/>
      <c r="D37" s="14"/>
      <c r="E37" s="10"/>
      <c r="F37" s="10"/>
      <c r="G37" s="10"/>
    </row>
    <row r="38" spans="1:7">
      <c r="A38" t="s">
        <v>133</v>
      </c>
      <c r="B38" s="11">
        <v>459992759.87</v>
      </c>
      <c r="C38" s="11">
        <v>304103072.62</v>
      </c>
      <c r="D38" s="14">
        <f t="shared" si="0"/>
        <v>155889687.25</v>
      </c>
      <c r="E38" s="10">
        <f t="shared" si="1"/>
        <v>51.26212172305015</v>
      </c>
      <c r="F38" s="10">
        <f t="shared" si="2"/>
        <v>-6.0481119767004081</v>
      </c>
      <c r="G38" s="10">
        <f t="shared" si="3"/>
        <v>-4.868016037271393</v>
      </c>
    </row>
    <row r="39" spans="1:7">
      <c r="A39" t="s">
        <v>137</v>
      </c>
      <c r="B39" s="13">
        <f>SUM(B38)</f>
        <v>459992759.87</v>
      </c>
      <c r="C39" s="13">
        <f>SUM(C38)</f>
        <v>304103072.62</v>
      </c>
      <c r="D39" s="14">
        <f t="shared" si="0"/>
        <v>155889687.25</v>
      </c>
      <c r="E39" s="10">
        <f t="shared" si="1"/>
        <v>51.26212172305015</v>
      </c>
      <c r="F39" s="10">
        <f t="shared" si="2"/>
        <v>-6.0481119767004081</v>
      </c>
      <c r="G39" s="10">
        <f t="shared" si="3"/>
        <v>-4.868016037271393</v>
      </c>
    </row>
    <row r="40" spans="1:7">
      <c r="B40" s="13"/>
      <c r="C40" s="13"/>
      <c r="D40" s="14"/>
      <c r="E40" s="10"/>
      <c r="F40" s="10"/>
      <c r="G40" s="10"/>
    </row>
    <row r="41" spans="1:7">
      <c r="A41" t="s">
        <v>138</v>
      </c>
      <c r="B41" s="13">
        <f>+B35+B39</f>
        <v>-1003021343.2000002</v>
      </c>
      <c r="C41" s="13">
        <f>+C35+C39</f>
        <v>-1015671377.7300001</v>
      </c>
      <c r="D41" s="14">
        <f t="shared" si="0"/>
        <v>12650034.529999971</v>
      </c>
      <c r="E41" s="10">
        <f t="shared" si="1"/>
        <v>-1.2454849873068667</v>
      </c>
      <c r="F41" s="10">
        <f t="shared" si="2"/>
        <v>13.18800191639645</v>
      </c>
      <c r="G41" s="10">
        <f t="shared" si="3"/>
        <v>16.258647151406645</v>
      </c>
    </row>
    <row r="42" spans="1:7">
      <c r="B42" s="14"/>
      <c r="C42" s="14"/>
      <c r="D42" s="14"/>
      <c r="E42" s="10"/>
      <c r="F42" s="10"/>
      <c r="G42" s="10"/>
    </row>
    <row r="43" spans="1:7">
      <c r="A43" t="s">
        <v>139</v>
      </c>
      <c r="B43" s="11">
        <f>+B29+B41</f>
        <v>-2252139667.8999996</v>
      </c>
      <c r="C43" s="11">
        <f>+C29+C41</f>
        <v>-2593243168.1100001</v>
      </c>
      <c r="D43" s="14">
        <f t="shared" si="0"/>
        <v>341103500.21000051</v>
      </c>
      <c r="E43" s="10">
        <f t="shared" si="1"/>
        <v>-13.153548591380368</v>
      </c>
      <c r="F43" s="10">
        <f t="shared" si="2"/>
        <v>29.611754981703619</v>
      </c>
      <c r="G43" s="10">
        <f t="shared" si="3"/>
        <v>41.512074252135371</v>
      </c>
    </row>
    <row r="44" spans="1:7">
      <c r="B44" s="11"/>
      <c r="C44" s="11"/>
      <c r="D44" s="14"/>
      <c r="E44" s="10"/>
      <c r="F44" s="10"/>
      <c r="G44" s="10"/>
    </row>
    <row r="45" spans="1:7">
      <c r="A45" t="s">
        <v>30</v>
      </c>
      <c r="B45" s="12">
        <v>384984086</v>
      </c>
      <c r="C45" s="12">
        <v>329233320</v>
      </c>
      <c r="D45" s="14">
        <f t="shared" si="0"/>
        <v>55750766</v>
      </c>
      <c r="E45" s="10">
        <f t="shared" si="1"/>
        <v>16.933512683345658</v>
      </c>
      <c r="F45" s="10">
        <f t="shared" si="2"/>
        <v>-5.0618771957056543</v>
      </c>
      <c r="G45" s="10">
        <f t="shared" si="3"/>
        <v>-5.2702955874662161</v>
      </c>
    </row>
    <row r="46" spans="1:7">
      <c r="A46" t="s">
        <v>140</v>
      </c>
      <c r="B46" s="11">
        <f>SUM(B43:B45)</f>
        <v>-1867155581.8999996</v>
      </c>
      <c r="C46" s="11">
        <f>SUM(C43:C45)</f>
        <v>-2264009848.1100001</v>
      </c>
      <c r="D46" s="14">
        <f t="shared" si="0"/>
        <v>396854266.21000051</v>
      </c>
      <c r="E46" s="10">
        <f t="shared" si="1"/>
        <v>-17.528822436055002</v>
      </c>
      <c r="F46" s="10">
        <f t="shared" si="2"/>
        <v>24.549877785997964</v>
      </c>
      <c r="G46" s="10">
        <f t="shared" si="3"/>
        <v>36.241778664669155</v>
      </c>
    </row>
    <row r="47" spans="1:7">
      <c r="B47" s="11"/>
      <c r="C47" s="11"/>
      <c r="D47" s="14"/>
      <c r="E47" s="10"/>
      <c r="F47" s="10"/>
      <c r="G47" s="10"/>
    </row>
    <row r="48" spans="1:7">
      <c r="A48" t="s">
        <v>141</v>
      </c>
      <c r="B48" s="12">
        <v>118785000</v>
      </c>
      <c r="C48" s="12">
        <v>0</v>
      </c>
      <c r="D48" s="14"/>
      <c r="E48" s="10"/>
      <c r="F48" s="10"/>
      <c r="G48" s="10"/>
    </row>
    <row r="49" spans="1:7" ht="13.8" thickBot="1">
      <c r="A49" t="s">
        <v>142</v>
      </c>
      <c r="B49" s="15">
        <f>SUM(B46:B48)</f>
        <v>-1748370581.8999996</v>
      </c>
      <c r="C49" s="15">
        <f>SUM(C46:C48)</f>
        <v>-2264009848.1100001</v>
      </c>
      <c r="D49" s="14">
        <f t="shared" si="0"/>
        <v>515639266.21000051</v>
      </c>
      <c r="E49" s="10">
        <f t="shared" si="1"/>
        <v>-22.775486892888612</v>
      </c>
      <c r="F49" s="10">
        <f t="shared" si="2"/>
        <v>22.988059766611325</v>
      </c>
      <c r="G49" s="10">
        <f t="shared" si="3"/>
        <v>36.241778664669155</v>
      </c>
    </row>
    <row r="50" spans="1:7" ht="13.8" thickTop="1"/>
  </sheetData>
  <mergeCells count="2">
    <mergeCell ref="B3:E3"/>
    <mergeCell ref="B4:E4"/>
  </mergeCells>
  <phoneticPr fontId="0" type="noConversion"/>
  <printOptions horizontalCentered="1"/>
  <pageMargins left="0.75" right="0.75" top="1" bottom="1" header="0" footer="0"/>
  <pageSetup scale="79" orientation="portrait" horizontalDpi="300" verticalDpi="144" r:id="rId1"/>
  <headerFooter alignWithMargins="0"/>
  <colBreaks count="1" manualBreakCount="1">
    <brk id="7" max="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9"/>
  <sheetViews>
    <sheetView view="pageBreakPreview" zoomScale="60" zoomScaleNormal="100" workbookViewId="0">
      <selection activeCell="B3" sqref="B3:G3"/>
    </sheetView>
  </sheetViews>
  <sheetFormatPr baseColWidth="10" defaultColWidth="11.44140625" defaultRowHeight="13.2"/>
  <cols>
    <col min="1" max="1" width="11.44140625" customWidth="1"/>
    <col min="2" max="2" width="36.33203125" customWidth="1"/>
    <col min="3" max="4" width="18.6640625" customWidth="1"/>
    <col min="5" max="5" width="14.88671875" customWidth="1"/>
  </cols>
  <sheetData>
    <row r="3" spans="1:8" ht="22.8">
      <c r="B3" s="132" t="s">
        <v>370</v>
      </c>
      <c r="C3" s="132"/>
      <c r="D3" s="132"/>
      <c r="E3" s="132"/>
      <c r="F3" s="132"/>
      <c r="G3" s="132"/>
    </row>
    <row r="4" spans="1:8" ht="22.8">
      <c r="B4" s="132" t="s">
        <v>150</v>
      </c>
      <c r="C4" s="132"/>
      <c r="D4" s="132"/>
      <c r="E4" s="132"/>
      <c r="F4" s="132"/>
      <c r="G4" s="132"/>
    </row>
    <row r="6" spans="1:8">
      <c r="A6" s="22"/>
      <c r="B6" s="23"/>
      <c r="C6" s="23" t="s">
        <v>149</v>
      </c>
      <c r="D6" s="23" t="s">
        <v>149</v>
      </c>
      <c r="E6" s="23" t="s">
        <v>111</v>
      </c>
      <c r="F6" s="23" t="s">
        <v>111</v>
      </c>
      <c r="G6" s="23" t="s">
        <v>145</v>
      </c>
      <c r="H6" s="24" t="s">
        <v>145</v>
      </c>
    </row>
    <row r="7" spans="1:8">
      <c r="A7" s="25" t="s">
        <v>147</v>
      </c>
      <c r="B7" s="26" t="s">
        <v>148</v>
      </c>
      <c r="C7" s="26" t="s">
        <v>354</v>
      </c>
      <c r="D7" s="26" t="s">
        <v>355</v>
      </c>
      <c r="E7" s="26" t="s">
        <v>143</v>
      </c>
      <c r="F7" s="26" t="s">
        <v>144</v>
      </c>
      <c r="G7" s="26" t="s">
        <v>113</v>
      </c>
      <c r="H7" s="27" t="s">
        <v>113</v>
      </c>
    </row>
    <row r="8" spans="1:8">
      <c r="A8" s="28"/>
      <c r="B8" s="29"/>
      <c r="C8" s="29"/>
      <c r="D8" s="29"/>
      <c r="E8" s="29"/>
      <c r="F8" s="29"/>
      <c r="G8" s="29">
        <v>2000</v>
      </c>
      <c r="H8" s="30">
        <v>1999</v>
      </c>
    </row>
    <row r="10" spans="1:8">
      <c r="A10">
        <v>51</v>
      </c>
      <c r="B10" t="s">
        <v>150</v>
      </c>
    </row>
    <row r="11" spans="1:8">
      <c r="A11">
        <v>5105</v>
      </c>
      <c r="B11" t="s">
        <v>151</v>
      </c>
    </row>
    <row r="12" spans="1:8">
      <c r="A12">
        <v>510503</v>
      </c>
      <c r="B12" t="s">
        <v>152</v>
      </c>
      <c r="C12" s="11">
        <v>92985483</v>
      </c>
      <c r="D12" s="11">
        <v>55500000</v>
      </c>
      <c r="E12" s="11">
        <f>+C12-D12</f>
        <v>37485483</v>
      </c>
      <c r="F12" s="10">
        <f>+E12/D12*100</f>
        <v>67.541410810810802</v>
      </c>
      <c r="G12" s="10">
        <f>+C12/$C$118*100</f>
        <v>10.953419355256838</v>
      </c>
      <c r="H12" s="10">
        <f>+D12/$D$118*100</f>
        <v>8.7858934730720186</v>
      </c>
    </row>
    <row r="13" spans="1:8">
      <c r="A13">
        <v>510506</v>
      </c>
      <c r="B13" t="s">
        <v>153</v>
      </c>
      <c r="C13" s="11">
        <v>189931383</v>
      </c>
      <c r="D13" s="11">
        <v>218639467</v>
      </c>
      <c r="E13" s="11">
        <f t="shared" ref="E13:E76" si="0">+C13-D13</f>
        <v>-28708084</v>
      </c>
      <c r="F13" s="10">
        <f t="shared" ref="F13:F76" si="1">+E13/D13*100</f>
        <v>-13.130330216181877</v>
      </c>
      <c r="G13" s="10">
        <f t="shared" ref="G13:G76" si="2">+C13/$C$118*100</f>
        <v>22.37336431024292</v>
      </c>
      <c r="H13" s="10">
        <f t="shared" ref="H13:H76" si="3">+D13/$D$118*100</f>
        <v>34.611586776058473</v>
      </c>
    </row>
    <row r="14" spans="1:8">
      <c r="A14">
        <v>510515</v>
      </c>
      <c r="B14" t="s">
        <v>154</v>
      </c>
      <c r="C14" s="11">
        <v>4540244</v>
      </c>
      <c r="D14" s="11">
        <v>1195216</v>
      </c>
      <c r="E14" s="11">
        <f t="shared" si="0"/>
        <v>3345028</v>
      </c>
      <c r="F14" s="10">
        <f t="shared" si="1"/>
        <v>279.86807405523354</v>
      </c>
      <c r="G14" s="10">
        <f t="shared" si="2"/>
        <v>0.53482753331709565</v>
      </c>
      <c r="H14" s="10">
        <f t="shared" si="3"/>
        <v>0.18920793609569814</v>
      </c>
    </row>
    <row r="15" spans="1:8">
      <c r="A15">
        <v>510524</v>
      </c>
      <c r="B15" t="s">
        <v>155</v>
      </c>
      <c r="C15" s="11">
        <v>272036</v>
      </c>
      <c r="D15" s="11">
        <v>0</v>
      </c>
      <c r="E15" s="11">
        <f t="shared" si="0"/>
        <v>272036</v>
      </c>
      <c r="F15" s="10" t="e">
        <f t="shared" si="1"/>
        <v>#DIV/0!</v>
      </c>
      <c r="G15" s="10">
        <f t="shared" si="2"/>
        <v>3.2045049308682405E-2</v>
      </c>
      <c r="H15" s="10">
        <f t="shared" si="3"/>
        <v>0</v>
      </c>
    </row>
    <row r="16" spans="1:8">
      <c r="A16">
        <v>510527</v>
      </c>
      <c r="B16" t="s">
        <v>156</v>
      </c>
      <c r="C16" s="11">
        <v>257967</v>
      </c>
      <c r="D16" s="11">
        <v>233717</v>
      </c>
      <c r="E16" s="11">
        <f t="shared" si="0"/>
        <v>24250</v>
      </c>
      <c r="F16" s="10">
        <f t="shared" si="1"/>
        <v>10.375796369113074</v>
      </c>
      <c r="G16" s="10">
        <f t="shared" si="2"/>
        <v>3.0387762042571105E-2</v>
      </c>
      <c r="H16" s="10">
        <f t="shared" si="3"/>
        <v>3.6998426393621137E-2</v>
      </c>
    </row>
    <row r="17" spans="1:8">
      <c r="A17">
        <v>510530</v>
      </c>
      <c r="B17" t="s">
        <v>157</v>
      </c>
      <c r="C17" s="11">
        <v>27096573</v>
      </c>
      <c r="D17" s="11">
        <v>56031126</v>
      </c>
      <c r="E17" s="11">
        <f t="shared" si="0"/>
        <v>-28934553</v>
      </c>
      <c r="F17" s="10">
        <f t="shared" si="1"/>
        <v>-51.640141945389431</v>
      </c>
      <c r="G17" s="10">
        <f t="shared" si="2"/>
        <v>3.1918974616643099</v>
      </c>
      <c r="H17" s="10">
        <f t="shared" si="3"/>
        <v>8.8699730488698361</v>
      </c>
    </row>
    <row r="18" spans="1:8">
      <c r="A18">
        <v>510533</v>
      </c>
      <c r="B18" t="s">
        <v>158</v>
      </c>
      <c r="C18" s="11">
        <v>10720584</v>
      </c>
      <c r="D18" s="11">
        <v>17871847</v>
      </c>
      <c r="E18" s="11">
        <f t="shared" si="0"/>
        <v>-7151263</v>
      </c>
      <c r="F18" s="10">
        <f t="shared" si="1"/>
        <v>-40.014123889937061</v>
      </c>
      <c r="G18" s="10">
        <f t="shared" si="2"/>
        <v>1.2628536035593509</v>
      </c>
      <c r="H18" s="10">
        <f t="shared" si="3"/>
        <v>2.8291917821448962</v>
      </c>
    </row>
    <row r="19" spans="1:8">
      <c r="A19">
        <v>510536</v>
      </c>
      <c r="B19" t="s">
        <v>84</v>
      </c>
      <c r="C19" s="11">
        <v>16228244</v>
      </c>
      <c r="D19" s="11">
        <v>18976514</v>
      </c>
      <c r="E19" s="11">
        <f t="shared" si="0"/>
        <v>-2748270</v>
      </c>
      <c r="F19" s="10">
        <f t="shared" si="1"/>
        <v>-14.482480818131297</v>
      </c>
      <c r="G19" s="10">
        <f t="shared" si="2"/>
        <v>1.9116399269704352</v>
      </c>
      <c r="H19" s="10">
        <f t="shared" si="3"/>
        <v>3.0040654143109871</v>
      </c>
    </row>
    <row r="20" spans="1:8">
      <c r="A20">
        <v>510539</v>
      </c>
      <c r="B20" t="s">
        <v>85</v>
      </c>
      <c r="C20" s="11">
        <v>8799072</v>
      </c>
      <c r="D20" s="11">
        <v>11786019</v>
      </c>
      <c r="E20" s="11">
        <f t="shared" si="0"/>
        <v>-2986947</v>
      </c>
      <c r="F20" s="10">
        <f t="shared" si="1"/>
        <v>-25.343137491972477</v>
      </c>
      <c r="G20" s="10">
        <f t="shared" si="2"/>
        <v>1.0365050806167075</v>
      </c>
      <c r="H20" s="10">
        <f t="shared" si="3"/>
        <v>1.8657785118126633</v>
      </c>
    </row>
    <row r="21" spans="1:8">
      <c r="A21">
        <v>510548</v>
      </c>
      <c r="B21" t="s">
        <v>159</v>
      </c>
      <c r="C21" s="11">
        <v>85070000</v>
      </c>
      <c r="D21" s="11">
        <v>50550000</v>
      </c>
      <c r="E21" s="11">
        <f t="shared" si="0"/>
        <v>34520000</v>
      </c>
      <c r="F21" s="10">
        <f t="shared" si="1"/>
        <v>68.288822947576648</v>
      </c>
      <c r="G21" s="10">
        <f t="shared" si="2"/>
        <v>10.020998488029569</v>
      </c>
      <c r="H21" s="10">
        <f t="shared" si="3"/>
        <v>8.0022867579061359</v>
      </c>
    </row>
    <row r="22" spans="1:8">
      <c r="A22">
        <v>510563</v>
      </c>
      <c r="B22" t="s">
        <v>160</v>
      </c>
      <c r="C22" s="11">
        <v>965739</v>
      </c>
      <c r="D22" s="11">
        <v>775500</v>
      </c>
      <c r="E22" s="11">
        <f t="shared" si="0"/>
        <v>190239</v>
      </c>
      <c r="F22" s="10">
        <f t="shared" si="1"/>
        <v>24.531141199226305</v>
      </c>
      <c r="G22" s="10">
        <f t="shared" si="2"/>
        <v>0.11376124437323602</v>
      </c>
      <c r="H22" s="10">
        <f t="shared" si="3"/>
        <v>0.12276505204265498</v>
      </c>
    </row>
    <row r="23" spans="1:8">
      <c r="A23">
        <v>510568</v>
      </c>
      <c r="B23" t="s">
        <v>161</v>
      </c>
      <c r="C23" s="11">
        <v>5516987</v>
      </c>
      <c r="D23" s="11">
        <v>4490864</v>
      </c>
      <c r="E23" s="11">
        <f t="shared" si="0"/>
        <v>1026123</v>
      </c>
      <c r="F23" s="10">
        <f t="shared" si="1"/>
        <v>22.849122128837568</v>
      </c>
      <c r="G23" s="10">
        <f t="shared" si="2"/>
        <v>0.64988501687408951</v>
      </c>
      <c r="H23" s="10">
        <f t="shared" si="3"/>
        <v>0.71092347218115493</v>
      </c>
    </row>
    <row r="24" spans="1:8">
      <c r="A24">
        <v>510569</v>
      </c>
      <c r="B24" t="s">
        <v>162</v>
      </c>
      <c r="C24" s="11">
        <v>18396890</v>
      </c>
      <c r="D24" s="11">
        <v>14673351</v>
      </c>
      <c r="E24" s="11">
        <f t="shared" si="0"/>
        <v>3723539</v>
      </c>
      <c r="F24" s="10">
        <f t="shared" si="1"/>
        <v>25.376200705619322</v>
      </c>
      <c r="G24" s="10">
        <f t="shared" si="2"/>
        <v>2.1671001160743661</v>
      </c>
      <c r="H24" s="10">
        <f t="shared" si="3"/>
        <v>2.3228558338557619</v>
      </c>
    </row>
    <row r="25" spans="1:8">
      <c r="A25">
        <v>510570</v>
      </c>
      <c r="B25" t="s">
        <v>163</v>
      </c>
      <c r="C25" s="11">
        <v>23576990</v>
      </c>
      <c r="D25" s="11">
        <v>18319110</v>
      </c>
      <c r="E25" s="11">
        <f t="shared" si="0"/>
        <v>5257880</v>
      </c>
      <c r="F25" s="10">
        <f t="shared" si="1"/>
        <v>28.701612687515933</v>
      </c>
      <c r="G25" s="10">
        <f t="shared" si="2"/>
        <v>2.7773008245243718</v>
      </c>
      <c r="H25" s="10">
        <f t="shared" si="3"/>
        <v>2.8999954771439342</v>
      </c>
    </row>
    <row r="26" spans="1:8">
      <c r="A26">
        <v>510572</v>
      </c>
      <c r="B26" t="s">
        <v>164</v>
      </c>
      <c r="C26" s="11">
        <v>10390545</v>
      </c>
      <c r="D26" s="11">
        <v>10347386</v>
      </c>
      <c r="E26" s="11">
        <f t="shared" si="0"/>
        <v>43159</v>
      </c>
      <c r="F26" s="10">
        <f t="shared" si="1"/>
        <v>0.41710051214867211</v>
      </c>
      <c r="G26" s="10">
        <f t="shared" si="2"/>
        <v>1.2239759696109462</v>
      </c>
      <c r="H26" s="10">
        <f t="shared" si="3"/>
        <v>1.6380365967703925</v>
      </c>
    </row>
    <row r="27" spans="1:8">
      <c r="A27">
        <v>510575</v>
      </c>
      <c r="B27" t="s">
        <v>165</v>
      </c>
      <c r="C27" s="11">
        <v>7792911</v>
      </c>
      <c r="D27" s="11">
        <v>7760540</v>
      </c>
      <c r="E27" s="11">
        <f t="shared" si="0"/>
        <v>32371</v>
      </c>
      <c r="F27" s="10">
        <f t="shared" si="1"/>
        <v>0.4171230352527015</v>
      </c>
      <c r="G27" s="10">
        <f t="shared" si="2"/>
        <v>0.91798224225166336</v>
      </c>
      <c r="H27" s="10">
        <f t="shared" si="3"/>
        <v>1.2285275267299878</v>
      </c>
    </row>
    <row r="28" spans="1:8">
      <c r="A28">
        <v>510578</v>
      </c>
      <c r="B28" t="s">
        <v>166</v>
      </c>
      <c r="C28" s="11">
        <v>5195275</v>
      </c>
      <c r="D28" s="11">
        <v>5173695</v>
      </c>
      <c r="E28" s="11">
        <f t="shared" si="0"/>
        <v>21580</v>
      </c>
      <c r="F28" s="10">
        <f t="shared" si="1"/>
        <v>0.41711001518257262</v>
      </c>
      <c r="G28" s="10">
        <f t="shared" si="2"/>
        <v>0.61198827929819932</v>
      </c>
      <c r="H28" s="10">
        <f t="shared" si="3"/>
        <v>0.81901861499397022</v>
      </c>
    </row>
    <row r="29" spans="1:8">
      <c r="A29">
        <v>510584</v>
      </c>
      <c r="B29" t="s">
        <v>167</v>
      </c>
      <c r="C29" s="11">
        <v>365318</v>
      </c>
      <c r="D29" s="11">
        <v>3053000</v>
      </c>
      <c r="E29" s="11">
        <f t="shared" si="0"/>
        <v>-2687682</v>
      </c>
      <c r="F29" s="10">
        <f t="shared" si="1"/>
        <v>-88.034130363576807</v>
      </c>
      <c r="G29" s="10">
        <f t="shared" si="2"/>
        <v>4.3033397503820223E-2</v>
      </c>
      <c r="H29" s="10">
        <f t="shared" si="3"/>
        <v>0.48330329321241211</v>
      </c>
    </row>
    <row r="30" spans="1:8">
      <c r="A30">
        <v>510595</v>
      </c>
      <c r="B30" t="s">
        <v>168</v>
      </c>
      <c r="C30" s="11">
        <v>14760413</v>
      </c>
      <c r="D30" s="11">
        <v>4997074</v>
      </c>
      <c r="E30" s="11">
        <f t="shared" si="0"/>
        <v>9763339</v>
      </c>
      <c r="F30" s="10">
        <f t="shared" si="1"/>
        <v>195.38111702968578</v>
      </c>
      <c r="G30" s="10">
        <f t="shared" si="2"/>
        <v>1.738733705838627</v>
      </c>
      <c r="H30" s="10">
        <f t="shared" si="3"/>
        <v>0.79105873587491693</v>
      </c>
    </row>
    <row r="31" spans="1:8">
      <c r="A31" t="s">
        <v>169</v>
      </c>
      <c r="B31" t="s">
        <v>151</v>
      </c>
      <c r="C31" s="13">
        <f>SUM(C12:C30)</f>
        <v>522862654</v>
      </c>
      <c r="D31" s="13">
        <f>SUM(D12:D30)</f>
        <v>500374426</v>
      </c>
      <c r="E31" s="13">
        <f t="shared" si="0"/>
        <v>22488228</v>
      </c>
      <c r="F31" s="10">
        <f t="shared" si="1"/>
        <v>4.4942800493964494</v>
      </c>
      <c r="G31" s="10">
        <f t="shared" si="2"/>
        <v>61.591699367357798</v>
      </c>
      <c r="H31" s="10">
        <f t="shared" si="3"/>
        <v>79.211466729469521</v>
      </c>
    </row>
    <row r="32" spans="1:8">
      <c r="C32" s="11"/>
      <c r="D32" s="11"/>
      <c r="E32" s="11"/>
      <c r="F32" s="10"/>
      <c r="G32" s="10"/>
      <c r="H32" s="10"/>
    </row>
    <row r="33" spans="1:8">
      <c r="A33">
        <v>5110</v>
      </c>
      <c r="B33" t="s">
        <v>170</v>
      </c>
      <c r="C33" s="11"/>
      <c r="D33" s="11"/>
      <c r="E33" s="11"/>
      <c r="F33" s="10"/>
      <c r="G33" s="10"/>
      <c r="H33" s="10"/>
    </row>
    <row r="34" spans="1:8">
      <c r="A34">
        <v>511010</v>
      </c>
      <c r="B34" t="s">
        <v>171</v>
      </c>
      <c r="C34" s="11">
        <v>6154416</v>
      </c>
      <c r="D34" s="11">
        <v>5543254</v>
      </c>
      <c r="E34" s="11">
        <f t="shared" si="0"/>
        <v>611162</v>
      </c>
      <c r="F34" s="10">
        <f t="shared" si="1"/>
        <v>11.025329165865392</v>
      </c>
      <c r="G34" s="10">
        <f t="shared" si="2"/>
        <v>0.72497229846837885</v>
      </c>
      <c r="H34" s="10">
        <f t="shared" si="3"/>
        <v>0.87752142591315963</v>
      </c>
    </row>
    <row r="35" spans="1:8">
      <c r="A35">
        <v>511025</v>
      </c>
      <c r="B35" t="s">
        <v>172</v>
      </c>
      <c r="C35" s="11">
        <v>955000</v>
      </c>
      <c r="D35" s="11">
        <v>770000</v>
      </c>
      <c r="E35" s="11">
        <f t="shared" si="0"/>
        <v>185000</v>
      </c>
      <c r="F35" s="10">
        <f t="shared" si="1"/>
        <v>24.025974025974026</v>
      </c>
      <c r="G35" s="10">
        <f t="shared" si="2"/>
        <v>0.11249622141845819</v>
      </c>
      <c r="H35" s="10">
        <f t="shared" si="3"/>
        <v>0.12189437791469288</v>
      </c>
    </row>
    <row r="36" spans="1:8">
      <c r="A36">
        <v>511035</v>
      </c>
      <c r="B36" t="s">
        <v>173</v>
      </c>
      <c r="C36" s="11">
        <v>136650000</v>
      </c>
      <c r="D36" s="11">
        <v>9363556</v>
      </c>
      <c r="E36" s="11">
        <f t="shared" si="0"/>
        <v>127286444</v>
      </c>
      <c r="F36" s="10">
        <f t="shared" si="1"/>
        <v>1359.3814572156134</v>
      </c>
      <c r="G36" s="10">
        <f t="shared" si="2"/>
        <v>16.096972415531219</v>
      </c>
      <c r="H36" s="10">
        <f t="shared" si="3"/>
        <v>1.4822919918044024</v>
      </c>
    </row>
    <row r="37" spans="1:8">
      <c r="A37">
        <v>511095</v>
      </c>
      <c r="B37" t="s">
        <v>168</v>
      </c>
      <c r="C37" s="11">
        <v>1210000</v>
      </c>
      <c r="D37" s="11">
        <v>0</v>
      </c>
      <c r="E37" s="11">
        <f t="shared" si="0"/>
        <v>1210000</v>
      </c>
      <c r="F37" s="10" t="e">
        <f t="shared" si="1"/>
        <v>#DIV/0!</v>
      </c>
      <c r="G37" s="10">
        <f t="shared" si="2"/>
        <v>0.14253447949354389</v>
      </c>
      <c r="H37" s="10">
        <f t="shared" si="3"/>
        <v>0</v>
      </c>
    </row>
    <row r="38" spans="1:8">
      <c r="A38" t="s">
        <v>169</v>
      </c>
      <c r="B38" t="s">
        <v>170</v>
      </c>
      <c r="C38" s="13">
        <f>SUM(C34:C37)</f>
        <v>144969416</v>
      </c>
      <c r="D38" s="13">
        <f>SUM(D34:D37)</f>
        <v>15676810</v>
      </c>
      <c r="E38" s="14">
        <f t="shared" si="0"/>
        <v>129292606</v>
      </c>
      <c r="F38" s="10">
        <f t="shared" si="1"/>
        <v>824.73797921898642</v>
      </c>
      <c r="G38" s="10">
        <f t="shared" si="2"/>
        <v>17.076975414911601</v>
      </c>
      <c r="H38" s="10">
        <f t="shared" si="3"/>
        <v>2.4817077956322553</v>
      </c>
    </row>
    <row r="39" spans="1:8">
      <c r="C39" s="11"/>
      <c r="D39" s="11"/>
      <c r="E39" s="11"/>
      <c r="F39" s="10"/>
      <c r="G39" s="10"/>
      <c r="H39" s="10"/>
    </row>
    <row r="40" spans="1:8">
      <c r="A40">
        <v>5115</v>
      </c>
      <c r="B40" t="s">
        <v>174</v>
      </c>
      <c r="C40" s="11"/>
      <c r="D40" s="11"/>
      <c r="E40" s="11"/>
      <c r="F40" s="10"/>
      <c r="G40" s="10"/>
      <c r="H40" s="10"/>
    </row>
    <row r="41" spans="1:8">
      <c r="A41">
        <v>511505</v>
      </c>
      <c r="B41" t="s">
        <v>175</v>
      </c>
      <c r="C41" s="11">
        <v>6825012</v>
      </c>
      <c r="D41" s="11">
        <v>9403209</v>
      </c>
      <c r="E41" s="11">
        <f t="shared" si="0"/>
        <v>-2578197</v>
      </c>
      <c r="F41" s="10">
        <f t="shared" si="1"/>
        <v>-27.418267529733733</v>
      </c>
      <c r="G41" s="10">
        <f t="shared" si="2"/>
        <v>0.80396655616296786</v>
      </c>
      <c r="H41" s="10">
        <f t="shared" si="3"/>
        <v>1.4885692356582354</v>
      </c>
    </row>
    <row r="42" spans="1:8">
      <c r="A42">
        <v>511510</v>
      </c>
      <c r="B42" t="s">
        <v>176</v>
      </c>
      <c r="C42" s="11">
        <v>900000</v>
      </c>
      <c r="D42" s="11">
        <v>0</v>
      </c>
      <c r="E42" s="11">
        <f t="shared" si="0"/>
        <v>900000</v>
      </c>
      <c r="F42" s="10" t="e">
        <f t="shared" si="1"/>
        <v>#DIV/0!</v>
      </c>
      <c r="G42" s="10">
        <f t="shared" si="2"/>
        <v>0.10601738144147893</v>
      </c>
      <c r="H42" s="10">
        <f t="shared" si="3"/>
        <v>0</v>
      </c>
    </row>
    <row r="43" spans="1:8">
      <c r="A43">
        <v>511540</v>
      </c>
      <c r="B43" t="s">
        <v>177</v>
      </c>
      <c r="C43" s="11">
        <v>0</v>
      </c>
      <c r="D43" s="11">
        <v>425500</v>
      </c>
      <c r="E43" s="11">
        <f t="shared" si="0"/>
        <v>-425500</v>
      </c>
      <c r="F43" s="10">
        <f t="shared" si="1"/>
        <v>-100</v>
      </c>
      <c r="G43" s="10">
        <f t="shared" si="2"/>
        <v>0</v>
      </c>
      <c r="H43" s="10">
        <f t="shared" si="3"/>
        <v>6.7358516626885481E-2</v>
      </c>
    </row>
    <row r="44" spans="1:8">
      <c r="A44">
        <v>511570</v>
      </c>
      <c r="B44" t="s">
        <v>178</v>
      </c>
      <c r="C44" s="11">
        <v>2815261</v>
      </c>
      <c r="D44" s="11">
        <v>3858666</v>
      </c>
      <c r="E44" s="11">
        <f t="shared" si="0"/>
        <v>-1043405</v>
      </c>
      <c r="F44" s="10">
        <f t="shared" si="1"/>
        <v>-27.040562722972133</v>
      </c>
      <c r="G44" s="10">
        <f t="shared" si="2"/>
        <v>0.331629554771466</v>
      </c>
      <c r="H44" s="10">
        <f t="shared" si="3"/>
        <v>0.61084375539035884</v>
      </c>
    </row>
    <row r="45" spans="1:8">
      <c r="A45">
        <v>511595</v>
      </c>
      <c r="B45" t="s">
        <v>168</v>
      </c>
      <c r="C45" s="11">
        <v>233600</v>
      </c>
      <c r="D45" s="11">
        <v>306000</v>
      </c>
      <c r="E45" s="11">
        <f t="shared" si="0"/>
        <v>-72400</v>
      </c>
      <c r="F45" s="10">
        <f t="shared" si="1"/>
        <v>-23.660130718954246</v>
      </c>
      <c r="G45" s="10">
        <f t="shared" si="2"/>
        <v>2.7517400338588308E-2</v>
      </c>
      <c r="H45" s="10">
        <f t="shared" si="3"/>
        <v>4.8441142392072756E-2</v>
      </c>
    </row>
    <row r="46" spans="1:8">
      <c r="A46" t="s">
        <v>169</v>
      </c>
      <c r="B46" t="s">
        <v>174</v>
      </c>
      <c r="C46" s="13">
        <f>SUM(C41:C45)</f>
        <v>10773873</v>
      </c>
      <c r="D46" s="13">
        <f>SUM(D41:D45)</f>
        <v>13993375</v>
      </c>
      <c r="E46" s="14">
        <f t="shared" si="0"/>
        <v>-3219502</v>
      </c>
      <c r="F46" s="10">
        <f t="shared" si="1"/>
        <v>-23.007330254495432</v>
      </c>
      <c r="G46" s="10">
        <f t="shared" si="2"/>
        <v>1.2691308927145011</v>
      </c>
      <c r="H46" s="10">
        <f t="shared" si="3"/>
        <v>2.2152126500675529</v>
      </c>
    </row>
    <row r="47" spans="1:8">
      <c r="C47" s="11"/>
      <c r="D47" s="11"/>
      <c r="E47" s="11"/>
      <c r="F47" s="10"/>
      <c r="G47" s="10"/>
      <c r="H47" s="10"/>
    </row>
    <row r="48" spans="1:8">
      <c r="A48">
        <v>5120</v>
      </c>
      <c r="B48" t="s">
        <v>179</v>
      </c>
      <c r="C48" s="11"/>
      <c r="D48" s="11"/>
      <c r="E48" s="11"/>
      <c r="F48" s="10"/>
      <c r="G48" s="10"/>
      <c r="H48" s="10"/>
    </row>
    <row r="49" spans="1:8">
      <c r="A49">
        <v>512040</v>
      </c>
      <c r="B49" t="s">
        <v>49</v>
      </c>
      <c r="C49" s="12">
        <v>20450000</v>
      </c>
      <c r="D49" s="12">
        <v>0</v>
      </c>
      <c r="E49" s="11">
        <f t="shared" si="0"/>
        <v>20450000</v>
      </c>
      <c r="F49" s="10" t="e">
        <f t="shared" si="1"/>
        <v>#DIV/0!</v>
      </c>
      <c r="G49" s="10">
        <f t="shared" si="2"/>
        <v>2.4089505005313825</v>
      </c>
      <c r="H49" s="10">
        <f t="shared" si="3"/>
        <v>0</v>
      </c>
    </row>
    <row r="50" spans="1:8">
      <c r="A50" t="s">
        <v>169</v>
      </c>
      <c r="B50" t="s">
        <v>179</v>
      </c>
      <c r="C50" s="12">
        <f>SUM(C49)</f>
        <v>20450000</v>
      </c>
      <c r="D50" s="12">
        <f>SUM(D49)</f>
        <v>0</v>
      </c>
      <c r="E50" s="14">
        <f t="shared" si="0"/>
        <v>20450000</v>
      </c>
      <c r="F50" s="10">
        <v>0</v>
      </c>
      <c r="G50" s="10">
        <f t="shared" si="2"/>
        <v>2.4089505005313825</v>
      </c>
      <c r="H50" s="10">
        <f t="shared" si="3"/>
        <v>0</v>
      </c>
    </row>
    <row r="51" spans="1:8">
      <c r="C51" s="11"/>
      <c r="D51" s="11"/>
      <c r="E51" s="11"/>
      <c r="F51" s="10"/>
      <c r="G51" s="10"/>
      <c r="H51" s="10"/>
    </row>
    <row r="52" spans="1:8">
      <c r="A52">
        <v>5125</v>
      </c>
      <c r="B52" t="s">
        <v>180</v>
      </c>
      <c r="C52" s="11"/>
      <c r="D52" s="11"/>
      <c r="E52" s="11"/>
      <c r="F52" s="10"/>
      <c r="G52" s="10"/>
      <c r="H52" s="10"/>
    </row>
    <row r="53" spans="1:8">
      <c r="A53">
        <v>512505</v>
      </c>
      <c r="B53" t="s">
        <v>181</v>
      </c>
      <c r="C53" s="11">
        <v>3000000</v>
      </c>
      <c r="D53" s="11">
        <v>2363413</v>
      </c>
      <c r="E53" s="11">
        <f t="shared" si="0"/>
        <v>636587</v>
      </c>
      <c r="F53" s="10">
        <f t="shared" si="1"/>
        <v>26.935072287408087</v>
      </c>
      <c r="G53" s="10">
        <f t="shared" si="2"/>
        <v>0.35339127147159644</v>
      </c>
      <c r="H53" s="10">
        <f t="shared" si="3"/>
        <v>0.37413864596168578</v>
      </c>
    </row>
    <row r="54" spans="1:8">
      <c r="A54">
        <v>512510</v>
      </c>
      <c r="B54" t="s">
        <v>182</v>
      </c>
      <c r="C54" s="11">
        <v>1666000</v>
      </c>
      <c r="D54" s="11">
        <v>1528000</v>
      </c>
      <c r="E54" s="11">
        <f t="shared" si="0"/>
        <v>138000</v>
      </c>
      <c r="F54" s="10">
        <f t="shared" si="1"/>
        <v>9.0314136125654443</v>
      </c>
      <c r="G54" s="10">
        <f t="shared" si="2"/>
        <v>0.19624995275722654</v>
      </c>
      <c r="H54" s="10">
        <f t="shared" si="3"/>
        <v>0.24188910318655937</v>
      </c>
    </row>
    <row r="55" spans="1:8">
      <c r="A55" t="s">
        <v>169</v>
      </c>
      <c r="B55" t="s">
        <v>180</v>
      </c>
      <c r="C55" s="13">
        <f>SUM(C53:C54)</f>
        <v>4666000</v>
      </c>
      <c r="D55" s="13">
        <f>SUM(D53:D54)</f>
        <v>3891413</v>
      </c>
      <c r="E55" s="14">
        <f t="shared" si="0"/>
        <v>774587</v>
      </c>
      <c r="F55" s="10">
        <f t="shared" si="1"/>
        <v>19.905031925421433</v>
      </c>
      <c r="G55" s="10">
        <f t="shared" si="2"/>
        <v>0.549641224228823</v>
      </c>
      <c r="H55" s="10">
        <f t="shared" si="3"/>
        <v>0.61602774914824521</v>
      </c>
    </row>
    <row r="56" spans="1:8">
      <c r="C56" s="11"/>
      <c r="D56" s="11"/>
      <c r="E56" s="11"/>
      <c r="F56" s="10"/>
      <c r="G56" s="10"/>
      <c r="H56" s="10"/>
    </row>
    <row r="57" spans="1:8">
      <c r="A57">
        <v>5130</v>
      </c>
      <c r="B57" t="s">
        <v>183</v>
      </c>
      <c r="C57" s="11"/>
      <c r="D57" s="11"/>
      <c r="E57" s="11"/>
      <c r="F57" s="10"/>
      <c r="G57" s="10"/>
      <c r="H57" s="10"/>
    </row>
    <row r="58" spans="1:8">
      <c r="A58">
        <v>513015</v>
      </c>
      <c r="B58" t="s">
        <v>184</v>
      </c>
      <c r="C58">
        <v>0</v>
      </c>
      <c r="D58" s="11">
        <v>343697</v>
      </c>
      <c r="E58" s="11">
        <f t="shared" si="0"/>
        <v>-343697</v>
      </c>
      <c r="F58" s="10">
        <f t="shared" si="1"/>
        <v>-100</v>
      </c>
      <c r="G58" s="10">
        <f t="shared" si="2"/>
        <v>0</v>
      </c>
      <c r="H58" s="10">
        <f t="shared" si="3"/>
        <v>5.4408742865124933E-2</v>
      </c>
    </row>
    <row r="59" spans="1:8">
      <c r="A59">
        <v>513040</v>
      </c>
      <c r="B59" t="s">
        <v>49</v>
      </c>
      <c r="C59" s="11">
        <v>284883</v>
      </c>
      <c r="D59" s="11">
        <v>1293565</v>
      </c>
      <c r="E59" s="11">
        <f t="shared" si="0"/>
        <v>-1008682</v>
      </c>
      <c r="F59" s="10">
        <f t="shared" si="1"/>
        <v>-77.97690877536111</v>
      </c>
      <c r="G59" s="10">
        <f t="shared" si="2"/>
        <v>3.355838853021427E-2</v>
      </c>
      <c r="H59" s="10">
        <f t="shared" si="3"/>
        <v>0.20477701424314246</v>
      </c>
    </row>
    <row r="60" spans="1:8">
      <c r="A60">
        <v>513060</v>
      </c>
      <c r="B60" t="s">
        <v>185</v>
      </c>
      <c r="C60" s="11">
        <v>1200000</v>
      </c>
      <c r="D60" s="11">
        <v>400000</v>
      </c>
      <c r="E60" s="11">
        <f t="shared" si="0"/>
        <v>800000</v>
      </c>
      <c r="F60" s="10">
        <f t="shared" si="1"/>
        <v>200</v>
      </c>
      <c r="G60" s="10">
        <f t="shared" si="2"/>
        <v>0.14135650858863857</v>
      </c>
      <c r="H60" s="10">
        <f t="shared" si="3"/>
        <v>6.3321754760879423E-2</v>
      </c>
    </row>
    <row r="61" spans="1:8">
      <c r="A61">
        <v>513075</v>
      </c>
      <c r="B61" t="s">
        <v>186</v>
      </c>
      <c r="C61" s="11">
        <v>128362</v>
      </c>
      <c r="D61" s="11">
        <v>304870</v>
      </c>
      <c r="E61" s="11">
        <f t="shared" si="0"/>
        <v>-176508</v>
      </c>
      <c r="F61" s="10">
        <f t="shared" si="1"/>
        <v>-57.896152458424901</v>
      </c>
      <c r="G61" s="10">
        <f t="shared" si="2"/>
        <v>1.5120670129545688E-2</v>
      </c>
      <c r="H61" s="10">
        <f t="shared" si="3"/>
        <v>4.8262258434873272E-2</v>
      </c>
    </row>
    <row r="62" spans="1:8">
      <c r="A62">
        <v>513095</v>
      </c>
      <c r="B62" t="s">
        <v>168</v>
      </c>
      <c r="C62" s="11">
        <v>40000</v>
      </c>
      <c r="D62" s="11">
        <v>0</v>
      </c>
      <c r="E62" s="11">
        <f>+C62-D62</f>
        <v>40000</v>
      </c>
      <c r="F62" s="10" t="e">
        <f>+E62/D62*100</f>
        <v>#DIV/0!</v>
      </c>
      <c r="G62" s="10">
        <f>+C62/$C$118*100</f>
        <v>4.7118836196212857E-3</v>
      </c>
      <c r="H62" s="10">
        <f>+D62/$D$118*100</f>
        <v>0</v>
      </c>
    </row>
    <row r="63" spans="1:8">
      <c r="A63" t="s">
        <v>169</v>
      </c>
      <c r="B63" t="s">
        <v>183</v>
      </c>
      <c r="C63" s="13">
        <f>SUM(C58:C62)</f>
        <v>1653245</v>
      </c>
      <c r="D63" s="13">
        <f>SUM(D58:D62)</f>
        <v>2342132</v>
      </c>
      <c r="E63" s="14">
        <f t="shared" si="0"/>
        <v>-688887</v>
      </c>
      <c r="F63" s="10">
        <f t="shared" si="1"/>
        <v>-29.412817040200977</v>
      </c>
      <c r="G63" s="10">
        <f t="shared" si="2"/>
        <v>0.19474745086801984</v>
      </c>
      <c r="H63" s="10">
        <f t="shared" si="3"/>
        <v>0.37076977030402003</v>
      </c>
    </row>
    <row r="64" spans="1:8">
      <c r="C64" s="11"/>
      <c r="D64" s="11"/>
      <c r="E64" s="11"/>
      <c r="F64" s="10"/>
      <c r="G64" s="10"/>
      <c r="H64" s="10"/>
    </row>
    <row r="65" spans="1:8">
      <c r="A65">
        <v>5135</v>
      </c>
      <c r="B65" t="s">
        <v>187</v>
      </c>
      <c r="C65" s="11"/>
      <c r="D65" s="11"/>
      <c r="E65" s="11"/>
      <c r="F65" s="10"/>
      <c r="G65" s="10"/>
      <c r="H65" s="10"/>
    </row>
    <row r="66" spans="1:8">
      <c r="A66">
        <v>513535</v>
      </c>
      <c r="B66" t="s">
        <v>188</v>
      </c>
      <c r="C66" s="11">
        <v>14721905</v>
      </c>
      <c r="D66" s="11">
        <v>13075986</v>
      </c>
      <c r="E66" s="11">
        <f t="shared" si="0"/>
        <v>1645919</v>
      </c>
      <c r="F66" s="10">
        <f t="shared" si="1"/>
        <v>12.587341405841212</v>
      </c>
      <c r="G66" s="10">
        <f t="shared" si="2"/>
        <v>1.7341975754780175</v>
      </c>
      <c r="H66" s="10">
        <f t="shared" si="3"/>
        <v>2.0699859468717317</v>
      </c>
    </row>
    <row r="67" spans="1:8">
      <c r="A67">
        <v>513540</v>
      </c>
      <c r="B67" t="s">
        <v>189</v>
      </c>
      <c r="C67" s="11">
        <v>466980</v>
      </c>
      <c r="D67" s="11">
        <v>887455</v>
      </c>
      <c r="E67" s="11">
        <f t="shared" si="0"/>
        <v>-420475</v>
      </c>
      <c r="F67" s="10">
        <f t="shared" si="1"/>
        <v>-47.379867148193426</v>
      </c>
      <c r="G67" s="10">
        <f t="shared" si="2"/>
        <v>5.5008885317268705E-2</v>
      </c>
      <c r="H67" s="10">
        <f t="shared" si="3"/>
        <v>0.14048801967829061</v>
      </c>
    </row>
    <row r="68" spans="1:8">
      <c r="A68">
        <v>513550</v>
      </c>
      <c r="B68" t="s">
        <v>190</v>
      </c>
      <c r="C68" s="11">
        <v>14230</v>
      </c>
      <c r="D68" s="11">
        <v>315000</v>
      </c>
      <c r="E68" s="11">
        <f t="shared" si="0"/>
        <v>-300770</v>
      </c>
      <c r="F68" s="10">
        <f t="shared" si="1"/>
        <v>-95.482539682539681</v>
      </c>
      <c r="G68" s="10">
        <f t="shared" si="2"/>
        <v>1.6762525976802725E-3</v>
      </c>
      <c r="H68" s="10">
        <f t="shared" si="3"/>
        <v>4.9865881874192539E-2</v>
      </c>
    </row>
    <row r="69" spans="1:8">
      <c r="A69">
        <v>513595</v>
      </c>
      <c r="B69" t="s">
        <v>168</v>
      </c>
      <c r="C69" s="11">
        <v>1214161</v>
      </c>
      <c r="D69" s="11">
        <v>877638</v>
      </c>
      <c r="E69" s="11">
        <f t="shared" si="0"/>
        <v>336523</v>
      </c>
      <c r="F69" s="10">
        <f t="shared" si="1"/>
        <v>38.344169236063159</v>
      </c>
      <c r="G69" s="10">
        <f t="shared" si="2"/>
        <v>0.14302463318707501</v>
      </c>
      <c r="H69" s="10">
        <f t="shared" si="3"/>
        <v>0.13893394551207172</v>
      </c>
    </row>
    <row r="70" spans="1:8">
      <c r="A70" t="s">
        <v>169</v>
      </c>
      <c r="B70" t="s">
        <v>187</v>
      </c>
      <c r="C70" s="13">
        <f>SUM(C66:C69)</f>
        <v>16417276</v>
      </c>
      <c r="D70" s="13">
        <f>SUM(D66:D69)</f>
        <v>15156079</v>
      </c>
      <c r="E70" s="14">
        <f t="shared" si="0"/>
        <v>1261197</v>
      </c>
      <c r="F70" s="10">
        <f t="shared" si="1"/>
        <v>8.3213936797241548</v>
      </c>
      <c r="G70" s="10">
        <f t="shared" si="2"/>
        <v>1.9339073465800418</v>
      </c>
      <c r="H70" s="10">
        <f t="shared" si="3"/>
        <v>2.399273793936286</v>
      </c>
    </row>
    <row r="71" spans="1:8">
      <c r="C71" s="11"/>
      <c r="D71" s="11"/>
      <c r="E71" s="11"/>
      <c r="F71" s="10"/>
      <c r="G71" s="10"/>
      <c r="H71" s="10"/>
    </row>
    <row r="72" spans="1:8">
      <c r="A72">
        <v>5140</v>
      </c>
      <c r="B72" t="s">
        <v>191</v>
      </c>
      <c r="C72" s="11"/>
      <c r="D72" s="11"/>
      <c r="E72" s="11"/>
      <c r="F72" s="10"/>
      <c r="G72" s="10"/>
      <c r="H72" s="10"/>
    </row>
    <row r="73" spans="1:8">
      <c r="A73">
        <v>514005</v>
      </c>
      <c r="B73" t="s">
        <v>192</v>
      </c>
      <c r="C73" s="11">
        <v>1083906</v>
      </c>
      <c r="D73" s="11">
        <v>14446</v>
      </c>
      <c r="E73" s="11">
        <f t="shared" si="0"/>
        <v>1069460</v>
      </c>
      <c r="F73" s="10">
        <f t="shared" si="1"/>
        <v>7403.1565831372009</v>
      </c>
      <c r="G73" s="10">
        <f t="shared" si="2"/>
        <v>0.12768097316523075</v>
      </c>
      <c r="H73" s="10">
        <f t="shared" si="3"/>
        <v>2.28686517318916E-3</v>
      </c>
    </row>
    <row r="74" spans="1:8">
      <c r="A74">
        <v>514010</v>
      </c>
      <c r="B74" t="s">
        <v>193</v>
      </c>
      <c r="C74" s="11">
        <v>606000</v>
      </c>
      <c r="D74" s="11">
        <v>552000</v>
      </c>
      <c r="E74" s="11">
        <f t="shared" si="0"/>
        <v>54000</v>
      </c>
      <c r="F74" s="10">
        <f t="shared" si="1"/>
        <v>9.7826086956521738</v>
      </c>
      <c r="G74" s="10">
        <f t="shared" si="2"/>
        <v>7.1385036837262481E-2</v>
      </c>
      <c r="H74" s="10">
        <f t="shared" si="3"/>
        <v>8.7384021570013598E-2</v>
      </c>
    </row>
    <row r="75" spans="1:8">
      <c r="A75">
        <v>514095</v>
      </c>
      <c r="B75" t="s">
        <v>168</v>
      </c>
      <c r="C75" s="11">
        <v>643200</v>
      </c>
      <c r="D75" s="11">
        <v>204300</v>
      </c>
      <c r="E75" s="11">
        <f t="shared" si="0"/>
        <v>438900</v>
      </c>
      <c r="F75" s="10">
        <f t="shared" si="1"/>
        <v>214.83113069016153</v>
      </c>
      <c r="G75" s="10">
        <f t="shared" si="2"/>
        <v>7.5767088603510266E-2</v>
      </c>
      <c r="H75" s="10">
        <f t="shared" si="3"/>
        <v>3.2341586244119161E-2</v>
      </c>
    </row>
    <row r="76" spans="1:8">
      <c r="A76" t="s">
        <v>169</v>
      </c>
      <c r="B76" t="s">
        <v>191</v>
      </c>
      <c r="C76" s="13">
        <f>SUM(C73:C75)</f>
        <v>2333106</v>
      </c>
      <c r="D76" s="13">
        <f>SUM(D73:D75)</f>
        <v>770746</v>
      </c>
      <c r="E76" s="14">
        <f t="shared" si="0"/>
        <v>1562360</v>
      </c>
      <c r="F76" s="10">
        <f t="shared" si="1"/>
        <v>202.70750675319755</v>
      </c>
      <c r="G76" s="10">
        <f t="shared" si="2"/>
        <v>0.27483309860600352</v>
      </c>
      <c r="H76" s="10">
        <f t="shared" si="3"/>
        <v>0.12201247298732192</v>
      </c>
    </row>
    <row r="77" spans="1:8">
      <c r="C77" s="11"/>
      <c r="D77" s="11"/>
      <c r="E77" s="11"/>
      <c r="F77" s="10"/>
      <c r="G77" s="10"/>
      <c r="H77" s="10"/>
    </row>
    <row r="78" spans="1:8">
      <c r="A78">
        <v>5145</v>
      </c>
      <c r="B78" t="s">
        <v>194</v>
      </c>
      <c r="C78" s="11"/>
      <c r="D78" s="11"/>
      <c r="E78" s="11"/>
      <c r="F78" s="10"/>
      <c r="G78" s="10"/>
      <c r="H78" s="10"/>
    </row>
    <row r="79" spans="1:8">
      <c r="A79">
        <v>514510</v>
      </c>
      <c r="B79" t="s">
        <v>45</v>
      </c>
      <c r="C79" s="11">
        <v>817970</v>
      </c>
      <c r="D79" s="11">
        <v>0</v>
      </c>
      <c r="E79" s="11">
        <f>+C79-D79</f>
        <v>817970</v>
      </c>
      <c r="F79" s="10" t="e">
        <f>+E79/D79*100</f>
        <v>#DIV/0!</v>
      </c>
      <c r="G79" s="10">
        <f t="shared" ref="G79:G118" si="4">+C79/$C$118*100</f>
        <v>9.6354486108540582E-2</v>
      </c>
      <c r="H79" s="10">
        <f t="shared" ref="H79:H118" si="5">+D79/$D$118*100</f>
        <v>0</v>
      </c>
    </row>
    <row r="80" spans="1:8">
      <c r="A80">
        <v>514520</v>
      </c>
      <c r="B80" t="s">
        <v>47</v>
      </c>
      <c r="C80" s="11">
        <v>1806197</v>
      </c>
      <c r="D80" s="11">
        <v>2088652</v>
      </c>
      <c r="E80" s="11">
        <f>+C80-D80</f>
        <v>-282455</v>
      </c>
      <c r="F80" s="10">
        <f t="shared" ref="F80:F118" si="6">+E80/D80*100</f>
        <v>-13.523315516419201</v>
      </c>
      <c r="G80" s="10">
        <f t="shared" si="4"/>
        <v>0.21276475145272769</v>
      </c>
      <c r="H80" s="10">
        <f t="shared" si="5"/>
        <v>0.3306427743120508</v>
      </c>
    </row>
    <row r="81" spans="1:8">
      <c r="A81">
        <v>514525</v>
      </c>
      <c r="B81" t="s">
        <v>195</v>
      </c>
      <c r="C81" s="11">
        <v>10843020</v>
      </c>
      <c r="D81" s="11">
        <v>12389008</v>
      </c>
      <c r="E81" s="11">
        <f>+C81-D81</f>
        <v>-1545988</v>
      </c>
      <c r="F81" s="10">
        <f t="shared" si="6"/>
        <v>-12.47870693117641</v>
      </c>
      <c r="G81" s="10">
        <f t="shared" si="4"/>
        <v>1.2772762081306499</v>
      </c>
      <c r="H81" s="10">
        <f t="shared" si="5"/>
        <v>1.9612343157664331</v>
      </c>
    </row>
    <row r="82" spans="1:8">
      <c r="A82">
        <v>514540</v>
      </c>
      <c r="B82" t="s">
        <v>49</v>
      </c>
      <c r="C82" s="11">
        <v>419707</v>
      </c>
      <c r="D82" s="11">
        <v>2344934</v>
      </c>
      <c r="E82" s="11">
        <f>+C82-D82</f>
        <v>-1925227</v>
      </c>
      <c r="F82" s="10">
        <f t="shared" si="6"/>
        <v>-82.10154315643851</v>
      </c>
      <c r="G82" s="10">
        <f t="shared" si="4"/>
        <v>4.944026345850977E-2</v>
      </c>
      <c r="H82" s="10">
        <f t="shared" si="5"/>
        <v>0.37121333919612004</v>
      </c>
    </row>
    <row r="83" spans="1:8">
      <c r="A83" t="s">
        <v>169</v>
      </c>
      <c r="B83" t="s">
        <v>194</v>
      </c>
      <c r="C83" s="13">
        <f>SUM(C79:C82)</f>
        <v>13886894</v>
      </c>
      <c r="D83" s="13">
        <f>SUM(D79:D82)</f>
        <v>16822594</v>
      </c>
      <c r="E83" s="14">
        <f>+C83-D83</f>
        <v>-2935700</v>
      </c>
      <c r="F83" s="10">
        <f t="shared" si="6"/>
        <v>-17.450935331376364</v>
      </c>
      <c r="G83" s="10">
        <f t="shared" si="4"/>
        <v>1.6358357091504281</v>
      </c>
      <c r="H83" s="10">
        <f t="shared" si="5"/>
        <v>2.6630904292746038</v>
      </c>
    </row>
    <row r="84" spans="1:8">
      <c r="C84" s="11"/>
      <c r="D84" s="11"/>
      <c r="E84" s="11"/>
      <c r="F84" s="10"/>
      <c r="G84" s="10"/>
      <c r="H84" s="10"/>
    </row>
    <row r="85" spans="1:8">
      <c r="A85">
        <v>5150</v>
      </c>
      <c r="B85" t="s">
        <v>196</v>
      </c>
      <c r="C85" s="11"/>
      <c r="D85" s="11"/>
      <c r="E85" s="11"/>
      <c r="F85" s="10"/>
      <c r="G85" s="10"/>
      <c r="H85" s="10"/>
    </row>
    <row r="86" spans="1:8">
      <c r="A86">
        <v>515005</v>
      </c>
      <c r="B86" t="s">
        <v>197</v>
      </c>
      <c r="C86" s="11">
        <v>549553</v>
      </c>
      <c r="D86" s="11">
        <v>80552</v>
      </c>
      <c r="E86" s="11">
        <f>+C86-D86</f>
        <v>469001</v>
      </c>
      <c r="F86" s="10">
        <f t="shared" si="6"/>
        <v>582.23383652795712</v>
      </c>
      <c r="G86" s="10">
        <f t="shared" si="4"/>
        <v>6.4735744470343415E-2</v>
      </c>
      <c r="H86" s="10">
        <f t="shared" si="5"/>
        <v>1.2751734973745897E-2</v>
      </c>
    </row>
    <row r="87" spans="1:8">
      <c r="A87">
        <v>515095</v>
      </c>
      <c r="B87" t="s">
        <v>198</v>
      </c>
      <c r="C87" s="11">
        <v>4050571</v>
      </c>
      <c r="D87" s="11">
        <v>116270</v>
      </c>
      <c r="E87" s="11">
        <f>+C87-D87</f>
        <v>3934301</v>
      </c>
      <c r="F87" s="10">
        <f t="shared" si="6"/>
        <v>3383.7627934978927</v>
      </c>
      <c r="G87" s="10">
        <f t="shared" si="4"/>
        <v>0.4771454786253253</v>
      </c>
      <c r="H87" s="10">
        <f t="shared" si="5"/>
        <v>1.8406051065118622E-2</v>
      </c>
    </row>
    <row r="88" spans="1:8">
      <c r="A88" t="s">
        <v>169</v>
      </c>
      <c r="B88" t="s">
        <v>196</v>
      </c>
      <c r="C88" s="13">
        <f>SUM(C86:C87)</f>
        <v>4600124</v>
      </c>
      <c r="D88" s="13">
        <f>SUM(D86:D87)</f>
        <v>196822</v>
      </c>
      <c r="E88" s="14">
        <f>+C88-D88</f>
        <v>4403302</v>
      </c>
      <c r="F88" s="10">
        <f t="shared" si="6"/>
        <v>2237.2001097438292</v>
      </c>
      <c r="G88" s="10">
        <f t="shared" si="4"/>
        <v>0.54188122309566877</v>
      </c>
      <c r="H88" s="10">
        <f t="shared" si="5"/>
        <v>3.1157786038864519E-2</v>
      </c>
    </row>
    <row r="89" spans="1:8">
      <c r="C89" s="11"/>
      <c r="D89" s="11"/>
      <c r="E89" s="11"/>
      <c r="F89" s="10"/>
      <c r="G89" s="10"/>
      <c r="H89" s="10"/>
    </row>
    <row r="90" spans="1:8">
      <c r="A90">
        <v>5155</v>
      </c>
      <c r="B90" t="s">
        <v>199</v>
      </c>
      <c r="C90" s="11"/>
      <c r="D90" s="11"/>
      <c r="E90" s="11"/>
      <c r="F90" s="10"/>
      <c r="G90" s="10"/>
      <c r="H90" s="10"/>
    </row>
    <row r="91" spans="1:8">
      <c r="A91">
        <v>515505</v>
      </c>
      <c r="B91" t="s">
        <v>200</v>
      </c>
      <c r="C91" s="11">
        <v>7038899</v>
      </c>
      <c r="D91" s="11">
        <v>2689552</v>
      </c>
      <c r="E91" s="11">
        <f>+C91-D91</f>
        <v>4349347</v>
      </c>
      <c r="F91" s="10">
        <f t="shared" si="6"/>
        <v>161.71269415872979</v>
      </c>
      <c r="G91" s="10">
        <f t="shared" si="4"/>
        <v>0.82916182245671621</v>
      </c>
      <c r="H91" s="10">
        <f t="shared" si="5"/>
        <v>0.42576788040158192</v>
      </c>
    </row>
    <row r="92" spans="1:8">
      <c r="A92">
        <v>515515</v>
      </c>
      <c r="B92" t="s">
        <v>201</v>
      </c>
      <c r="C92" s="11">
        <v>40182414</v>
      </c>
      <c r="D92" s="11">
        <v>9907982</v>
      </c>
      <c r="E92" s="11">
        <f>+C92-D92</f>
        <v>30274432</v>
      </c>
      <c r="F92" s="10">
        <f t="shared" si="6"/>
        <v>305.55598506335599</v>
      </c>
      <c r="G92" s="10">
        <f t="shared" si="4"/>
        <v>4.7333714580860251</v>
      </c>
      <c r="H92" s="10">
        <f t="shared" si="5"/>
        <v>1.568477015948019</v>
      </c>
    </row>
    <row r="93" spans="1:8">
      <c r="A93">
        <v>515595</v>
      </c>
      <c r="B93" t="s">
        <v>168</v>
      </c>
      <c r="C93" s="11">
        <v>14291490</v>
      </c>
      <c r="D93" s="11">
        <v>3132402</v>
      </c>
      <c r="E93" s="11">
        <f>+C93-D93</f>
        <v>11159088</v>
      </c>
      <c r="F93" s="10">
        <f t="shared" si="6"/>
        <v>356.24699511748491</v>
      </c>
      <c r="G93" s="10">
        <f t="shared" si="4"/>
        <v>1.6834959407745351</v>
      </c>
      <c r="H93" s="10">
        <f t="shared" si="5"/>
        <v>0.4958729781412205</v>
      </c>
    </row>
    <row r="94" spans="1:8">
      <c r="A94" t="s">
        <v>169</v>
      </c>
      <c r="B94" t="s">
        <v>199</v>
      </c>
      <c r="C94" s="13">
        <f>SUM(C91:C93)</f>
        <v>61512803</v>
      </c>
      <c r="D94" s="13">
        <f>SUM(D91:D93)</f>
        <v>15729936</v>
      </c>
      <c r="E94" s="14">
        <f>+C94-D94</f>
        <v>45782867</v>
      </c>
      <c r="F94" s="10">
        <f t="shared" si="6"/>
        <v>291.05564701598274</v>
      </c>
      <c r="G94" s="10">
        <f t="shared" si="4"/>
        <v>7.2460292213172766</v>
      </c>
      <c r="H94" s="10">
        <f t="shared" si="5"/>
        <v>2.4901178744908217</v>
      </c>
    </row>
    <row r="95" spans="1:8">
      <c r="C95" s="11"/>
      <c r="D95" s="11"/>
      <c r="E95" s="11"/>
      <c r="F95" s="10"/>
      <c r="G95" s="10"/>
      <c r="H95" s="10"/>
    </row>
    <row r="96" spans="1:8">
      <c r="A96">
        <v>5160</v>
      </c>
      <c r="B96" t="s">
        <v>202</v>
      </c>
      <c r="C96" s="11"/>
      <c r="D96" s="11"/>
      <c r="E96" s="11"/>
      <c r="F96" s="10"/>
      <c r="G96" s="10"/>
      <c r="H96" s="10"/>
    </row>
    <row r="97" spans="1:8">
      <c r="A97">
        <v>516015</v>
      </c>
      <c r="B97" t="s">
        <v>47</v>
      </c>
      <c r="C97" s="11">
        <v>8662668.8900000006</v>
      </c>
      <c r="D97" s="11">
        <v>8880641.7699999996</v>
      </c>
      <c r="E97" s="11">
        <f>+C97-D97</f>
        <v>-217972.87999999896</v>
      </c>
      <c r="F97" s="10">
        <f t="shared" si="6"/>
        <v>-2.4544721614190164</v>
      </c>
      <c r="G97" s="10">
        <f t="shared" si="4"/>
        <v>1.0204371911248478</v>
      </c>
      <c r="H97" s="10">
        <f t="shared" si="5"/>
        <v>1.4058445506979051</v>
      </c>
    </row>
    <row r="98" spans="1:8">
      <c r="A98">
        <v>516020</v>
      </c>
      <c r="B98" t="s">
        <v>195</v>
      </c>
      <c r="C98" s="11">
        <v>20726460.920000002</v>
      </c>
      <c r="D98" s="11">
        <v>14302792</v>
      </c>
      <c r="E98" s="11">
        <f>+C98-D98</f>
        <v>6423668.9200000018</v>
      </c>
      <c r="F98" s="10">
        <f t="shared" si="6"/>
        <v>44.911992847270668</v>
      </c>
      <c r="G98" s="10">
        <f t="shared" si="4"/>
        <v>2.4415167925417181</v>
      </c>
      <c r="H98" s="10">
        <f t="shared" si="5"/>
        <v>2.2641947185496702</v>
      </c>
    </row>
    <row r="99" spans="1:8">
      <c r="A99">
        <v>516035</v>
      </c>
      <c r="B99" t="s">
        <v>49</v>
      </c>
      <c r="C99" s="11">
        <v>0</v>
      </c>
      <c r="D99" s="11">
        <v>1531092</v>
      </c>
      <c r="E99" s="11">
        <f>+C99-D99</f>
        <v>-1531092</v>
      </c>
      <c r="F99" s="10">
        <f t="shared" si="6"/>
        <v>-100</v>
      </c>
      <c r="G99" s="10">
        <f t="shared" si="4"/>
        <v>0</v>
      </c>
      <c r="H99" s="10">
        <f t="shared" si="5"/>
        <v>0.24237858035086099</v>
      </c>
    </row>
    <row r="100" spans="1:8">
      <c r="A100" t="s">
        <v>169</v>
      </c>
      <c r="B100" t="s">
        <v>202</v>
      </c>
      <c r="C100" s="13">
        <f>SUM(C97:C99)</f>
        <v>29389129.810000002</v>
      </c>
      <c r="D100" s="13">
        <f>SUM(D97:D99)</f>
        <v>24714525.77</v>
      </c>
      <c r="E100" s="14">
        <f>+C100-D100</f>
        <v>4674604.0400000028</v>
      </c>
      <c r="F100" s="10">
        <f t="shared" si="6"/>
        <v>18.914399100768193</v>
      </c>
      <c r="G100" s="10">
        <f t="shared" si="4"/>
        <v>3.4619539836665658</v>
      </c>
      <c r="H100" s="10">
        <f t="shared" si="5"/>
        <v>3.9124178495984361</v>
      </c>
    </row>
    <row r="101" spans="1:8">
      <c r="C101" s="11"/>
      <c r="D101" s="11"/>
      <c r="E101" s="11"/>
      <c r="F101" s="10"/>
      <c r="G101" s="10"/>
      <c r="H101" s="10"/>
    </row>
    <row r="102" spans="1:8">
      <c r="A102">
        <v>5195</v>
      </c>
      <c r="B102" t="s">
        <v>203</v>
      </c>
      <c r="C102" s="11"/>
      <c r="D102" s="11"/>
      <c r="E102" s="11"/>
      <c r="F102" s="10"/>
      <c r="G102" s="10"/>
      <c r="H102" s="10"/>
    </row>
    <row r="103" spans="1:8">
      <c r="A103">
        <v>519510</v>
      </c>
      <c r="B103" t="s">
        <v>204</v>
      </c>
      <c r="C103" s="11">
        <v>2987689</v>
      </c>
      <c r="D103" s="11">
        <v>631980</v>
      </c>
      <c r="E103" s="11">
        <f t="shared" ref="E103:E112" si="7">+C103-D103</f>
        <v>2355709</v>
      </c>
      <c r="F103" s="10">
        <f t="shared" si="6"/>
        <v>372.75056172663687</v>
      </c>
      <c r="G103" s="10">
        <f t="shared" si="4"/>
        <v>0.35194107149056747</v>
      </c>
      <c r="H103" s="10">
        <f t="shared" si="5"/>
        <v>0.10004520643445143</v>
      </c>
    </row>
    <row r="104" spans="1:8">
      <c r="A104">
        <v>519515</v>
      </c>
      <c r="B104" t="s">
        <v>205</v>
      </c>
      <c r="C104" s="11">
        <v>1871900</v>
      </c>
      <c r="D104" s="11">
        <v>1776120</v>
      </c>
      <c r="E104" s="11">
        <f t="shared" si="7"/>
        <v>95780</v>
      </c>
      <c r="F104" s="10">
        <f t="shared" si="6"/>
        <v>5.3926536495281852</v>
      </c>
      <c r="G104" s="10">
        <f t="shared" si="4"/>
        <v>0.2205043736892271</v>
      </c>
      <c r="H104" s="10">
        <f t="shared" si="5"/>
        <v>0.28116758766473288</v>
      </c>
    </row>
    <row r="105" spans="1:8">
      <c r="A105">
        <v>519520</v>
      </c>
      <c r="B105" t="s">
        <v>206</v>
      </c>
      <c r="C105" s="11">
        <v>1507928</v>
      </c>
      <c r="D105" s="11">
        <v>486302</v>
      </c>
      <c r="E105" s="11">
        <f t="shared" si="7"/>
        <v>1021626</v>
      </c>
      <c r="F105" s="10">
        <f t="shared" si="6"/>
        <v>210.08056721954671</v>
      </c>
      <c r="G105" s="10">
        <f t="shared" si="4"/>
        <v>0.17762953106920715</v>
      </c>
      <c r="H105" s="10">
        <f t="shared" si="5"/>
        <v>7.6983739959312958E-2</v>
      </c>
    </row>
    <row r="106" spans="1:8">
      <c r="A106">
        <v>519525</v>
      </c>
      <c r="B106" t="s">
        <v>207</v>
      </c>
      <c r="C106" s="11">
        <v>102628</v>
      </c>
      <c r="D106" s="11">
        <v>556077</v>
      </c>
      <c r="E106" s="11">
        <f t="shared" si="7"/>
        <v>-453449</v>
      </c>
      <c r="F106" s="10">
        <f t="shared" si="6"/>
        <v>-81.54428253641133</v>
      </c>
      <c r="G106" s="10">
        <f t="shared" si="4"/>
        <v>1.2089279802862334E-2</v>
      </c>
      <c r="H106" s="10">
        <f t="shared" si="5"/>
        <v>8.8029428555413861E-2</v>
      </c>
    </row>
    <row r="107" spans="1:8">
      <c r="A107">
        <v>519530</v>
      </c>
      <c r="B107" t="s">
        <v>208</v>
      </c>
      <c r="C107" s="11">
        <v>5403796</v>
      </c>
      <c r="D107" s="11">
        <v>4873502.7</v>
      </c>
      <c r="E107" s="11">
        <f t="shared" si="7"/>
        <v>530293.29999999981</v>
      </c>
      <c r="F107" s="10">
        <f t="shared" si="6"/>
        <v>10.881153302736445</v>
      </c>
      <c r="G107" s="10">
        <f t="shared" si="4"/>
        <v>0.63655144640437566</v>
      </c>
      <c r="H107" s="10">
        <f t="shared" si="5"/>
        <v>0.77149685698970927</v>
      </c>
    </row>
    <row r="108" spans="1:8">
      <c r="A108">
        <v>519535</v>
      </c>
      <c r="B108" t="s">
        <v>209</v>
      </c>
      <c r="C108" s="11">
        <v>1353792</v>
      </c>
      <c r="D108" s="11">
        <v>1701572</v>
      </c>
      <c r="E108" s="11">
        <f t="shared" si="7"/>
        <v>-347780</v>
      </c>
      <c r="F108" s="10">
        <f t="shared" si="6"/>
        <v>-20.438747229032916</v>
      </c>
      <c r="G108" s="10">
        <f t="shared" si="4"/>
        <v>0.15947275872935848</v>
      </c>
      <c r="H108" s="10">
        <f t="shared" si="5"/>
        <v>0.26936631222994778</v>
      </c>
    </row>
    <row r="109" spans="1:8">
      <c r="A109">
        <v>519545</v>
      </c>
      <c r="B109" t="s">
        <v>210</v>
      </c>
      <c r="C109" s="11">
        <v>229048</v>
      </c>
      <c r="D109" s="11">
        <v>146250</v>
      </c>
      <c r="E109" s="11">
        <f t="shared" si="7"/>
        <v>82798</v>
      </c>
      <c r="F109" s="10">
        <f t="shared" si="6"/>
        <v>56.6140170940171</v>
      </c>
      <c r="G109" s="10">
        <f t="shared" si="4"/>
        <v>2.6981187982675407E-2</v>
      </c>
      <c r="H109" s="10">
        <f t="shared" si="5"/>
        <v>2.3152016584446537E-2</v>
      </c>
    </row>
    <row r="110" spans="1:8">
      <c r="A110">
        <v>519560</v>
      </c>
      <c r="B110" t="s">
        <v>211</v>
      </c>
      <c r="C110" s="11">
        <v>1703896</v>
      </c>
      <c r="D110" s="11">
        <v>514217</v>
      </c>
      <c r="E110" s="11">
        <f t="shared" si="7"/>
        <v>1189679</v>
      </c>
      <c r="F110" s="10">
        <f t="shared" si="6"/>
        <v>231.35738413938083</v>
      </c>
      <c r="G110" s="10">
        <f t="shared" si="4"/>
        <v>0.20071399129845574</v>
      </c>
      <c r="H110" s="10">
        <f t="shared" si="5"/>
        <v>8.1402806919687834E-2</v>
      </c>
    </row>
    <row r="111" spans="1:8">
      <c r="A111">
        <v>519565</v>
      </c>
      <c r="B111" t="s">
        <v>212</v>
      </c>
      <c r="C111" s="11">
        <v>30400</v>
      </c>
      <c r="D111" s="11">
        <v>73501</v>
      </c>
      <c r="E111" s="11">
        <f t="shared" si="7"/>
        <v>-43101</v>
      </c>
      <c r="F111" s="10">
        <f t="shared" si="6"/>
        <v>-58.640018503149619</v>
      </c>
      <c r="G111" s="10">
        <f t="shared" si="4"/>
        <v>3.5810315509121771E-3</v>
      </c>
      <c r="H111" s="10">
        <f t="shared" si="5"/>
        <v>1.1635530741698496E-2</v>
      </c>
    </row>
    <row r="112" spans="1:8">
      <c r="A112">
        <v>519595</v>
      </c>
      <c r="B112" t="s">
        <v>168</v>
      </c>
      <c r="C112" s="11">
        <v>211804</v>
      </c>
      <c r="D112" s="11">
        <v>417537</v>
      </c>
      <c r="E112" s="11">
        <f t="shared" si="7"/>
        <v>-205733</v>
      </c>
      <c r="F112" s="10">
        <f t="shared" si="6"/>
        <v>-49.272998560606609</v>
      </c>
      <c r="G112" s="10">
        <f t="shared" si="4"/>
        <v>2.494989495425667E-2</v>
      </c>
      <c r="H112" s="10">
        <f t="shared" si="5"/>
        <v>6.6097938793983277E-2</v>
      </c>
    </row>
    <row r="113" spans="1:8">
      <c r="A113" t="s">
        <v>169</v>
      </c>
      <c r="B113" t="s">
        <v>203</v>
      </c>
      <c r="C113" s="13">
        <f>SUM(C103:C112)</f>
        <v>15402881</v>
      </c>
      <c r="D113" s="13">
        <f>SUM(D103:D112)</f>
        <v>11177058.699999999</v>
      </c>
      <c r="E113" s="14">
        <f>+C113-D113</f>
        <v>4225822.3000000007</v>
      </c>
      <c r="F113" s="10">
        <f t="shared" si="6"/>
        <v>37.807999523166153</v>
      </c>
      <c r="G113" s="10">
        <f t="shared" si="4"/>
        <v>1.8144145669718983</v>
      </c>
      <c r="H113" s="10">
        <f t="shared" si="5"/>
        <v>1.7693774248733842</v>
      </c>
    </row>
    <row r="114" spans="1:8">
      <c r="C114" s="11"/>
      <c r="D114" s="11"/>
      <c r="E114" s="11"/>
      <c r="F114" s="10"/>
      <c r="G114" s="10"/>
      <c r="H114" s="10"/>
    </row>
    <row r="115" spans="1:8">
      <c r="A115">
        <v>5199</v>
      </c>
      <c r="B115" t="s">
        <v>213</v>
      </c>
      <c r="C115" s="11"/>
      <c r="D115" s="11"/>
      <c r="E115" s="11"/>
      <c r="F115" s="10"/>
      <c r="G115" s="10"/>
      <c r="H115" s="10"/>
    </row>
    <row r="116" spans="1:8">
      <c r="A116">
        <v>519910</v>
      </c>
      <c r="B116" t="s">
        <v>214</v>
      </c>
      <c r="C116">
        <v>0</v>
      </c>
      <c r="D116" s="11">
        <v>10848516</v>
      </c>
      <c r="E116" s="11">
        <f>+C116-D116</f>
        <v>-10848516</v>
      </c>
      <c r="F116" s="10">
        <f t="shared" si="6"/>
        <v>-100</v>
      </c>
      <c r="G116" s="10">
        <f t="shared" si="4"/>
        <v>0</v>
      </c>
      <c r="H116" s="10">
        <f t="shared" si="5"/>
        <v>1.7173676741786912</v>
      </c>
    </row>
    <row r="117" spans="1:8">
      <c r="A117" t="s">
        <v>169</v>
      </c>
      <c r="B117" t="s">
        <v>213</v>
      </c>
      <c r="C117" s="13">
        <f>SUM(C116)</f>
        <v>0</v>
      </c>
      <c r="D117" s="13">
        <f>SUM(D116)</f>
        <v>10848516</v>
      </c>
      <c r="E117" s="14">
        <f>+C117-D117</f>
        <v>-10848516</v>
      </c>
      <c r="F117" s="10">
        <f t="shared" si="6"/>
        <v>-100</v>
      </c>
      <c r="G117" s="10">
        <f t="shared" si="4"/>
        <v>0</v>
      </c>
      <c r="H117" s="10">
        <f t="shared" si="5"/>
        <v>1.7173676741786912</v>
      </c>
    </row>
    <row r="118" spans="1:8" ht="13.8" thickBot="1">
      <c r="A118" t="s">
        <v>215</v>
      </c>
      <c r="B118" t="s">
        <v>150</v>
      </c>
      <c r="C118" s="15">
        <f>+C31+C38+C46+C50+C55+C63+C70+C76+C83+C88+C94+C100+C113+C117</f>
        <v>848917401.80999994</v>
      </c>
      <c r="D118" s="15">
        <f>+D31+D38+D46+D50+D55+D63+D70+D76+D83+D88+D94+D100+D113+D117</f>
        <v>631694433.47000003</v>
      </c>
      <c r="E118" s="73">
        <f>+C118-D118</f>
        <v>217222968.33999991</v>
      </c>
      <c r="F118" s="10">
        <f t="shared" si="6"/>
        <v>34.387348824139366</v>
      </c>
      <c r="G118" s="10">
        <f t="shared" si="4"/>
        <v>100</v>
      </c>
      <c r="H118" s="10">
        <f t="shared" si="5"/>
        <v>100</v>
      </c>
    </row>
    <row r="119" spans="1:8" ht="13.8" thickTop="1"/>
  </sheetData>
  <mergeCells count="2">
    <mergeCell ref="B4:G4"/>
    <mergeCell ref="B3:G3"/>
  </mergeCells>
  <phoneticPr fontId="0" type="noConversion"/>
  <printOptions horizontalCentered="1"/>
  <pageMargins left="0.75" right="0.75" top="1" bottom="1" header="0" footer="0"/>
  <pageSetup scale="77" orientation="portrait" horizontalDpi="300" verticalDpi="14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2"/>
  <sheetViews>
    <sheetView view="pageBreakPreview" zoomScale="60" zoomScaleNormal="100" workbookViewId="0">
      <selection activeCell="B3" sqref="B3:G3"/>
    </sheetView>
  </sheetViews>
  <sheetFormatPr baseColWidth="10" defaultColWidth="11.44140625" defaultRowHeight="13.2"/>
  <cols>
    <col min="1" max="1" width="11.44140625" customWidth="1"/>
    <col min="2" max="2" width="36.33203125" customWidth="1"/>
    <col min="3" max="4" width="18.6640625" customWidth="1"/>
    <col min="5" max="5" width="14.6640625" customWidth="1"/>
  </cols>
  <sheetData>
    <row r="3" spans="1:8" ht="22.8">
      <c r="B3" s="132" t="s">
        <v>370</v>
      </c>
      <c r="C3" s="132"/>
      <c r="D3" s="132"/>
      <c r="E3" s="132"/>
      <c r="F3" s="132"/>
      <c r="G3" s="132"/>
    </row>
    <row r="4" spans="1:8" ht="22.8">
      <c r="B4" s="132" t="s">
        <v>216</v>
      </c>
      <c r="C4" s="132"/>
      <c r="D4" s="132"/>
      <c r="E4" s="132"/>
      <c r="F4" s="132"/>
      <c r="G4" s="132"/>
    </row>
    <row r="6" spans="1:8">
      <c r="A6" s="22"/>
      <c r="B6" s="23"/>
      <c r="C6" s="23" t="s">
        <v>149</v>
      </c>
      <c r="D6" s="23" t="s">
        <v>149</v>
      </c>
      <c r="E6" s="23" t="s">
        <v>111</v>
      </c>
      <c r="F6" s="23" t="s">
        <v>111</v>
      </c>
      <c r="G6" s="23" t="s">
        <v>145</v>
      </c>
      <c r="H6" s="24" t="s">
        <v>145</v>
      </c>
    </row>
    <row r="7" spans="1:8">
      <c r="A7" s="25" t="s">
        <v>147</v>
      </c>
      <c r="B7" s="26" t="s">
        <v>148</v>
      </c>
      <c r="C7" s="26" t="s">
        <v>354</v>
      </c>
      <c r="D7" s="26" t="s">
        <v>355</v>
      </c>
      <c r="E7" s="26" t="s">
        <v>143</v>
      </c>
      <c r="F7" s="26" t="s">
        <v>144</v>
      </c>
      <c r="G7" s="26" t="s">
        <v>113</v>
      </c>
      <c r="H7" s="27" t="s">
        <v>113</v>
      </c>
    </row>
    <row r="8" spans="1:8">
      <c r="A8" s="28"/>
      <c r="B8" s="29"/>
      <c r="C8" s="29"/>
      <c r="D8" s="29"/>
      <c r="E8" s="29"/>
      <c r="F8" s="29"/>
      <c r="G8" s="29">
        <v>2000</v>
      </c>
      <c r="H8" s="30">
        <v>1999</v>
      </c>
    </row>
    <row r="10" spans="1:8">
      <c r="A10">
        <v>52</v>
      </c>
      <c r="B10" t="s">
        <v>216</v>
      </c>
    </row>
    <row r="11" spans="1:8">
      <c r="A11">
        <v>5205</v>
      </c>
      <c r="B11" t="s">
        <v>151</v>
      </c>
    </row>
    <row r="12" spans="1:8">
      <c r="A12">
        <v>520503</v>
      </c>
      <c r="B12" t="s">
        <v>152</v>
      </c>
      <c r="C12" s="11">
        <v>23670500</v>
      </c>
      <c r="D12" s="11">
        <v>0</v>
      </c>
      <c r="E12" s="11">
        <f>+C12-D12</f>
        <v>23670500</v>
      </c>
      <c r="F12" s="10" t="e">
        <f t="shared" ref="F12:F20" si="0">+E12/D12*100</f>
        <v>#DIV/0!</v>
      </c>
      <c r="G12" s="10">
        <f>+C12/$C$91*100</f>
        <v>2.2225498710876943</v>
      </c>
      <c r="H12" s="10">
        <f>+D12/$D$91*100</f>
        <v>0</v>
      </c>
    </row>
    <row r="13" spans="1:8">
      <c r="A13">
        <v>520506</v>
      </c>
      <c r="B13" t="s">
        <v>153</v>
      </c>
      <c r="C13" s="11">
        <v>29786583</v>
      </c>
      <c r="D13" s="11">
        <v>26698233</v>
      </c>
      <c r="E13" s="11">
        <f t="shared" ref="E13:E78" si="1">+C13-D13</f>
        <v>3088350</v>
      </c>
      <c r="F13" s="10">
        <f t="shared" si="0"/>
        <v>11.567619475041663</v>
      </c>
      <c r="G13" s="10">
        <f t="shared" ref="G13:G78" si="2">+C13/$C$91*100</f>
        <v>2.7968216221369602</v>
      </c>
      <c r="H13" s="10">
        <f t="shared" ref="H13:H78" si="3">+D13/$D$91*100</f>
        <v>3.799272336549727</v>
      </c>
    </row>
    <row r="14" spans="1:8">
      <c r="A14">
        <v>520515</v>
      </c>
      <c r="B14" t="s">
        <v>154</v>
      </c>
      <c r="C14" s="11">
        <v>240499</v>
      </c>
      <c r="D14" s="11">
        <v>254959</v>
      </c>
      <c r="E14" s="11">
        <f t="shared" si="1"/>
        <v>-14460</v>
      </c>
      <c r="F14" s="10">
        <f t="shared" si="0"/>
        <v>-5.6715001235492766</v>
      </c>
      <c r="G14" s="10">
        <f t="shared" si="2"/>
        <v>2.2581737666999828E-2</v>
      </c>
      <c r="H14" s="10">
        <f t="shared" si="3"/>
        <v>3.628175226631597E-2</v>
      </c>
    </row>
    <row r="15" spans="1:8">
      <c r="A15">
        <v>520527</v>
      </c>
      <c r="B15" t="s">
        <v>156</v>
      </c>
      <c r="C15" s="11">
        <v>117979</v>
      </c>
      <c r="D15" s="11">
        <v>310556</v>
      </c>
      <c r="E15" s="11">
        <f t="shared" si="1"/>
        <v>-192577</v>
      </c>
      <c r="F15" s="10">
        <f t="shared" si="0"/>
        <v>-62.010394260616444</v>
      </c>
      <c r="G15" s="10">
        <f t="shared" si="2"/>
        <v>1.1077679442388421E-2</v>
      </c>
      <c r="H15" s="10">
        <f t="shared" si="3"/>
        <v>4.4193442305696301E-2</v>
      </c>
    </row>
    <row r="16" spans="1:8">
      <c r="A16">
        <v>520530</v>
      </c>
      <c r="B16" t="s">
        <v>157</v>
      </c>
      <c r="C16" s="11">
        <v>2567775</v>
      </c>
      <c r="D16" s="11">
        <v>4496176</v>
      </c>
      <c r="E16" s="11">
        <f t="shared" si="1"/>
        <v>-1928401</v>
      </c>
      <c r="F16" s="10">
        <f t="shared" si="0"/>
        <v>-42.889802356491387</v>
      </c>
      <c r="G16" s="10">
        <f t="shared" si="2"/>
        <v>0.24110213114349946</v>
      </c>
      <c r="H16" s="10">
        <f t="shared" si="3"/>
        <v>0.63982500628632633</v>
      </c>
    </row>
    <row r="17" spans="1:8">
      <c r="A17">
        <v>520533</v>
      </c>
      <c r="B17" t="s">
        <v>158</v>
      </c>
      <c r="C17" s="11">
        <v>308256</v>
      </c>
      <c r="D17" s="11">
        <v>501115</v>
      </c>
      <c r="E17" s="11">
        <f t="shared" si="1"/>
        <v>-192859</v>
      </c>
      <c r="F17" s="10">
        <f t="shared" si="0"/>
        <v>-38.485976272911408</v>
      </c>
      <c r="G17" s="10">
        <f t="shared" si="2"/>
        <v>2.8943804865212322E-2</v>
      </c>
      <c r="H17" s="10">
        <f t="shared" si="3"/>
        <v>7.1310800116626313E-2</v>
      </c>
    </row>
    <row r="18" spans="1:8">
      <c r="A18">
        <v>520536</v>
      </c>
      <c r="B18" t="s">
        <v>84</v>
      </c>
      <c r="C18" s="11">
        <v>2783252</v>
      </c>
      <c r="D18" s="11">
        <v>2302942</v>
      </c>
      <c r="E18" s="11">
        <f t="shared" si="1"/>
        <v>480310</v>
      </c>
      <c r="F18" s="10">
        <f t="shared" si="0"/>
        <v>20.856365466433804</v>
      </c>
      <c r="G18" s="10">
        <f t="shared" si="2"/>
        <v>0.26133441937451968</v>
      </c>
      <c r="H18" s="10">
        <f t="shared" si="3"/>
        <v>0.32771846111607839</v>
      </c>
    </row>
    <row r="19" spans="1:8">
      <c r="A19">
        <v>520539</v>
      </c>
      <c r="B19" t="s">
        <v>85</v>
      </c>
      <c r="C19" s="11">
        <v>1990650</v>
      </c>
      <c r="D19" s="11">
        <v>1149118</v>
      </c>
      <c r="E19" s="11">
        <f t="shared" si="1"/>
        <v>841532</v>
      </c>
      <c r="F19" s="10">
        <f t="shared" si="0"/>
        <v>73.232862073346695</v>
      </c>
      <c r="G19" s="10">
        <f t="shared" si="2"/>
        <v>0.18691277754507588</v>
      </c>
      <c r="H19" s="10">
        <f t="shared" si="3"/>
        <v>0.16352438863018948</v>
      </c>
    </row>
    <row r="20" spans="1:8">
      <c r="A20">
        <v>520548</v>
      </c>
      <c r="B20" t="s">
        <v>159</v>
      </c>
      <c r="C20" s="11">
        <v>8612000</v>
      </c>
      <c r="D20" s="11">
        <v>215900</v>
      </c>
      <c r="E20" s="11">
        <f t="shared" si="1"/>
        <v>8396100</v>
      </c>
      <c r="F20" s="10">
        <f t="shared" si="0"/>
        <v>3888.8837424733674</v>
      </c>
      <c r="G20" s="10">
        <f t="shared" si="2"/>
        <v>0.80862675016612351</v>
      </c>
      <c r="H20" s="10">
        <f t="shared" si="3"/>
        <v>3.0723490107419694E-2</v>
      </c>
    </row>
    <row r="21" spans="1:8">
      <c r="A21">
        <v>520563</v>
      </c>
      <c r="B21" t="s">
        <v>160</v>
      </c>
      <c r="C21" s="11">
        <v>130435</v>
      </c>
      <c r="D21" s="11">
        <v>0</v>
      </c>
      <c r="E21" s="11">
        <f>+C21-D21</f>
        <v>130435</v>
      </c>
      <c r="F21" s="10" t="e">
        <f>+E21/D21*100</f>
        <v>#DIV/0!</v>
      </c>
      <c r="G21" s="10">
        <f>+C21/$C$91*100</f>
        <v>1.2247239916154007E-2</v>
      </c>
      <c r="H21" s="10">
        <f>+D21/$D$91*100</f>
        <v>0</v>
      </c>
    </row>
    <row r="22" spans="1:8">
      <c r="A22">
        <v>520568</v>
      </c>
      <c r="B22" t="s">
        <v>161</v>
      </c>
      <c r="C22" s="11">
        <v>1136790</v>
      </c>
      <c r="D22" s="11">
        <v>650691</v>
      </c>
      <c r="E22" s="11">
        <f t="shared" si="1"/>
        <v>486099</v>
      </c>
      <c r="F22" s="10">
        <f t="shared" ref="F22:F29" si="4">+E22/D22*100</f>
        <v>74.70504432979709</v>
      </c>
      <c r="G22" s="10">
        <f t="shared" si="2"/>
        <v>0.10673929439402549</v>
      </c>
      <c r="H22" s="10">
        <f t="shared" si="3"/>
        <v>9.2596102369092298E-2</v>
      </c>
    </row>
    <row r="23" spans="1:8">
      <c r="A23">
        <v>520569</v>
      </c>
      <c r="B23" t="s">
        <v>162</v>
      </c>
      <c r="C23" s="11">
        <v>3782160</v>
      </c>
      <c r="D23" s="11">
        <v>2213867</v>
      </c>
      <c r="E23" s="11">
        <f t="shared" si="1"/>
        <v>1568293</v>
      </c>
      <c r="F23" s="10">
        <f t="shared" si="4"/>
        <v>70.83953101067047</v>
      </c>
      <c r="G23" s="10">
        <f t="shared" si="2"/>
        <v>0.35512723518442929</v>
      </c>
      <c r="H23" s="10">
        <f t="shared" si="3"/>
        <v>0.31504270900251469</v>
      </c>
    </row>
    <row r="24" spans="1:8">
      <c r="A24">
        <v>520570</v>
      </c>
      <c r="B24" t="s">
        <v>163</v>
      </c>
      <c r="C24" s="11">
        <v>4786797</v>
      </c>
      <c r="D24" s="11">
        <v>2713671</v>
      </c>
      <c r="E24" s="11">
        <f t="shared" si="1"/>
        <v>2073126</v>
      </c>
      <c r="F24" s="10">
        <f t="shared" si="4"/>
        <v>76.395627915100988</v>
      </c>
      <c r="G24" s="10">
        <f t="shared" si="2"/>
        <v>0.44945797745180549</v>
      </c>
      <c r="H24" s="10">
        <f t="shared" si="3"/>
        <v>0.38616694823201353</v>
      </c>
    </row>
    <row r="25" spans="1:8">
      <c r="A25">
        <v>520572</v>
      </c>
      <c r="B25" t="s">
        <v>217</v>
      </c>
      <c r="C25" s="11">
        <v>1866652</v>
      </c>
      <c r="D25" s="11">
        <v>1078127</v>
      </c>
      <c r="E25" s="11">
        <f t="shared" si="1"/>
        <v>788525</v>
      </c>
      <c r="F25" s="10">
        <f t="shared" si="4"/>
        <v>73.138415047577894</v>
      </c>
      <c r="G25" s="10">
        <f t="shared" si="2"/>
        <v>0.17526994199385679</v>
      </c>
      <c r="H25" s="10">
        <f t="shared" si="3"/>
        <v>0.15342206678574374</v>
      </c>
    </row>
    <row r="26" spans="1:8">
      <c r="A26">
        <v>520575</v>
      </c>
      <c r="B26" t="s">
        <v>218</v>
      </c>
      <c r="C26" s="11">
        <v>1399993</v>
      </c>
      <c r="D26" s="11">
        <v>808596</v>
      </c>
      <c r="E26" s="11">
        <f t="shared" si="1"/>
        <v>591397</v>
      </c>
      <c r="F26" s="10">
        <f t="shared" si="4"/>
        <v>73.138749140485487</v>
      </c>
      <c r="G26" s="10">
        <f t="shared" si="2"/>
        <v>0.1314528320767907</v>
      </c>
      <c r="H26" s="10">
        <f t="shared" si="3"/>
        <v>0.11506665681750411</v>
      </c>
    </row>
    <row r="27" spans="1:8">
      <c r="A27">
        <v>520578</v>
      </c>
      <c r="B27" t="s">
        <v>166</v>
      </c>
      <c r="C27" s="11">
        <v>933327</v>
      </c>
      <c r="D27" s="11">
        <v>539065</v>
      </c>
      <c r="E27" s="11">
        <f t="shared" si="1"/>
        <v>394262</v>
      </c>
      <c r="F27" s="10">
        <f t="shared" si="4"/>
        <v>73.138118779738988</v>
      </c>
      <c r="G27" s="10">
        <f t="shared" si="2"/>
        <v>8.7635064892277931E-2</v>
      </c>
      <c r="H27" s="10">
        <f t="shared" si="3"/>
        <v>7.6711246849264461E-2</v>
      </c>
    </row>
    <row r="28" spans="1:8">
      <c r="A28">
        <v>520584</v>
      </c>
      <c r="B28" t="s">
        <v>167</v>
      </c>
      <c r="C28" s="11">
        <v>21000</v>
      </c>
      <c r="D28" s="11">
        <v>0</v>
      </c>
      <c r="E28" s="11">
        <f t="shared" si="1"/>
        <v>21000</v>
      </c>
      <c r="F28" s="10" t="e">
        <f t="shared" si="4"/>
        <v>#DIV/0!</v>
      </c>
      <c r="G28" s="10">
        <f t="shared" si="2"/>
        <v>1.9718023401635617E-3</v>
      </c>
      <c r="H28" s="10">
        <f t="shared" si="3"/>
        <v>0</v>
      </c>
    </row>
    <row r="29" spans="1:8">
      <c r="A29">
        <v>520595</v>
      </c>
      <c r="B29" t="s">
        <v>168</v>
      </c>
      <c r="C29" s="11">
        <v>4569896</v>
      </c>
      <c r="D29" s="11">
        <v>0</v>
      </c>
      <c r="E29" s="11">
        <f t="shared" si="1"/>
        <v>4569896</v>
      </c>
      <c r="F29" s="10" t="e">
        <f t="shared" si="4"/>
        <v>#DIV/0!</v>
      </c>
      <c r="G29" s="10">
        <f t="shared" si="2"/>
        <v>0.42909198224305234</v>
      </c>
      <c r="H29" s="10">
        <f t="shared" si="3"/>
        <v>0</v>
      </c>
    </row>
    <row r="30" spans="1:8">
      <c r="A30" t="s">
        <v>169</v>
      </c>
      <c r="B30" t="s">
        <v>151</v>
      </c>
      <c r="C30" s="13">
        <f>SUM(C12:C29)</f>
        <v>88704544</v>
      </c>
      <c r="D30" s="13">
        <f>SUM(D12:D29)</f>
        <v>43933016</v>
      </c>
      <c r="E30" s="13">
        <f t="shared" si="1"/>
        <v>44771528</v>
      </c>
      <c r="F30" s="10">
        <f>+E30/D30*100</f>
        <v>101.90861469651891</v>
      </c>
      <c r="G30" s="10">
        <f t="shared" si="2"/>
        <v>8.3289441639210295</v>
      </c>
      <c r="H30" s="10">
        <f t="shared" si="3"/>
        <v>6.2518554074345118</v>
      </c>
    </row>
    <row r="31" spans="1:8">
      <c r="C31" s="11"/>
      <c r="D31" s="11"/>
      <c r="E31" s="11"/>
      <c r="F31" s="10"/>
      <c r="G31" s="10"/>
      <c r="H31" s="10"/>
    </row>
    <row r="32" spans="1:8">
      <c r="A32">
        <v>5215</v>
      </c>
      <c r="B32" t="s">
        <v>174</v>
      </c>
      <c r="C32" s="11"/>
      <c r="D32" s="11"/>
      <c r="E32" s="11"/>
      <c r="F32" s="10"/>
      <c r="G32" s="10"/>
      <c r="H32" s="10"/>
    </row>
    <row r="33" spans="1:8">
      <c r="A33">
        <v>521540</v>
      </c>
      <c r="B33" t="s">
        <v>177</v>
      </c>
      <c r="C33" s="11">
        <v>175000</v>
      </c>
      <c r="D33" s="11">
        <v>177000</v>
      </c>
      <c r="E33" s="11">
        <f t="shared" si="1"/>
        <v>-2000</v>
      </c>
      <c r="F33" s="10">
        <f>+E33/D33*100</f>
        <v>-1.1299435028248588</v>
      </c>
      <c r="G33" s="10">
        <f t="shared" si="2"/>
        <v>1.6431686168029678E-2</v>
      </c>
      <c r="H33" s="10">
        <f t="shared" si="3"/>
        <v>2.5187854326138424E-2</v>
      </c>
    </row>
    <row r="34" spans="1:8">
      <c r="A34" t="s">
        <v>169</v>
      </c>
      <c r="B34" t="s">
        <v>174</v>
      </c>
      <c r="C34" s="13">
        <f>SUM(C33)</f>
        <v>175000</v>
      </c>
      <c r="D34" s="13">
        <f>SUM(D33)</f>
        <v>177000</v>
      </c>
      <c r="E34" s="11">
        <f t="shared" si="1"/>
        <v>-2000</v>
      </c>
      <c r="F34" s="10">
        <f>+E34/D34*100</f>
        <v>-1.1299435028248588</v>
      </c>
      <c r="G34" s="10">
        <f t="shared" si="2"/>
        <v>1.6431686168029678E-2</v>
      </c>
      <c r="H34" s="10">
        <f t="shared" si="3"/>
        <v>2.5187854326138424E-2</v>
      </c>
    </row>
    <row r="35" spans="1:8">
      <c r="C35" s="11"/>
      <c r="D35" s="11"/>
      <c r="E35" s="11"/>
      <c r="F35" s="10"/>
      <c r="G35" s="10"/>
      <c r="H35" s="10"/>
    </row>
    <row r="36" spans="1:8">
      <c r="A36">
        <v>5220</v>
      </c>
      <c r="B36" t="s">
        <v>179</v>
      </c>
      <c r="C36" s="11"/>
      <c r="D36" s="11"/>
      <c r="E36" s="11"/>
      <c r="F36" s="10"/>
      <c r="G36" s="10"/>
      <c r="H36" s="10"/>
    </row>
    <row r="37" spans="1:8">
      <c r="A37">
        <v>522040</v>
      </c>
      <c r="B37" t="s">
        <v>49</v>
      </c>
      <c r="C37" s="11">
        <v>1400000</v>
      </c>
      <c r="D37">
        <v>0</v>
      </c>
      <c r="E37" s="11">
        <f>+C37-D37</f>
        <v>1400000</v>
      </c>
      <c r="F37" s="10" t="e">
        <f>+E37/D37*100</f>
        <v>#DIV/0!</v>
      </c>
      <c r="G37" s="10">
        <f>+C37/$C$91*100</f>
        <v>0.13145348934423742</v>
      </c>
      <c r="H37" s="10">
        <f>+D37/$D$91*100</f>
        <v>0</v>
      </c>
    </row>
    <row r="38" spans="1:8">
      <c r="A38">
        <v>522095</v>
      </c>
      <c r="B38" t="s">
        <v>168</v>
      </c>
      <c r="C38" s="11">
        <v>20935529</v>
      </c>
      <c r="D38">
        <v>0</v>
      </c>
      <c r="E38" s="11">
        <f t="shared" si="1"/>
        <v>20935529</v>
      </c>
      <c r="F38" s="10" t="e">
        <f>+E38/D38*100</f>
        <v>#DIV/0!</v>
      </c>
      <c r="G38" s="10">
        <f t="shared" si="2"/>
        <v>1.9657488130839098</v>
      </c>
      <c r="H38" s="10">
        <f t="shared" si="3"/>
        <v>0</v>
      </c>
    </row>
    <row r="39" spans="1:8">
      <c r="A39" t="s">
        <v>169</v>
      </c>
      <c r="B39" t="s">
        <v>179</v>
      </c>
      <c r="C39" s="13">
        <f>SUM(C37:C38)</f>
        <v>22335529</v>
      </c>
      <c r="D39" s="13">
        <f>SUM(D37:D38)</f>
        <v>0</v>
      </c>
      <c r="E39" s="11">
        <f t="shared" si="1"/>
        <v>22335529</v>
      </c>
      <c r="F39" s="10" t="e">
        <f>+E39/D39*100</f>
        <v>#DIV/0!</v>
      </c>
      <c r="G39" s="10">
        <f t="shared" si="2"/>
        <v>2.0972023024281472</v>
      </c>
      <c r="H39" s="10">
        <f t="shared" si="3"/>
        <v>0</v>
      </c>
    </row>
    <row r="40" spans="1:8">
      <c r="C40" s="11"/>
      <c r="D40" s="11"/>
      <c r="E40" s="11"/>
      <c r="F40" s="10"/>
      <c r="G40" s="10"/>
      <c r="H40" s="10"/>
    </row>
    <row r="41" spans="1:8">
      <c r="A41">
        <v>5230</v>
      </c>
      <c r="B41" t="s">
        <v>183</v>
      </c>
      <c r="C41" s="11"/>
      <c r="D41" s="11"/>
      <c r="E41" s="11"/>
      <c r="F41" s="10"/>
      <c r="G41" s="10"/>
      <c r="H41" s="10"/>
    </row>
    <row r="42" spans="1:8">
      <c r="A42">
        <v>523040</v>
      </c>
      <c r="B42" t="s">
        <v>49</v>
      </c>
      <c r="C42" s="11">
        <v>2960647</v>
      </c>
      <c r="D42" s="11">
        <v>1384813</v>
      </c>
      <c r="E42" s="11">
        <f t="shared" si="1"/>
        <v>1575834</v>
      </c>
      <c r="F42" s="10">
        <f>+E42/D42*100</f>
        <v>113.79399240186221</v>
      </c>
      <c r="G42" s="10">
        <f t="shared" si="2"/>
        <v>0.27799098490467755</v>
      </c>
      <c r="H42" s="10">
        <f t="shared" si="3"/>
        <v>0.19706479159854648</v>
      </c>
    </row>
    <row r="43" spans="1:8">
      <c r="A43">
        <v>523075</v>
      </c>
      <c r="B43" t="s">
        <v>186</v>
      </c>
      <c r="C43" s="11">
        <v>519929</v>
      </c>
      <c r="D43" s="11">
        <v>335298</v>
      </c>
      <c r="E43" s="11">
        <f t="shared" si="1"/>
        <v>184631</v>
      </c>
      <c r="F43" s="10">
        <f>+E43/D43*100</f>
        <v>55.06474837308901</v>
      </c>
      <c r="G43" s="10">
        <f t="shared" si="2"/>
        <v>4.8818915186614305E-2</v>
      </c>
      <c r="H43" s="10">
        <f t="shared" si="3"/>
        <v>4.7714334349409956E-2</v>
      </c>
    </row>
    <row r="44" spans="1:8">
      <c r="A44">
        <v>523095</v>
      </c>
      <c r="B44" t="s">
        <v>168</v>
      </c>
      <c r="C44" s="11">
        <v>15682170</v>
      </c>
      <c r="D44" s="11">
        <v>14158055</v>
      </c>
      <c r="E44" s="11">
        <f t="shared" si="1"/>
        <v>1524115</v>
      </c>
      <c r="F44" s="10">
        <f>+E44/D44*100</f>
        <v>10.76500267868715</v>
      </c>
      <c r="G44" s="10">
        <f t="shared" si="2"/>
        <v>1.4724828335639428</v>
      </c>
      <c r="H44" s="10">
        <f t="shared" si="3"/>
        <v>2.01475156430201</v>
      </c>
    </row>
    <row r="45" spans="1:8">
      <c r="A45" t="s">
        <v>169</v>
      </c>
      <c r="B45" t="s">
        <v>183</v>
      </c>
      <c r="C45" s="13">
        <f>SUM(C42:C44)</f>
        <v>19162746</v>
      </c>
      <c r="D45" s="13">
        <f>SUM(D42:D44)</f>
        <v>15878166</v>
      </c>
      <c r="E45" s="11">
        <f t="shared" si="1"/>
        <v>3284580</v>
      </c>
      <c r="F45" s="10">
        <f>+E45/D45*100</f>
        <v>20.686142215668987</v>
      </c>
      <c r="G45" s="10">
        <f t="shared" si="2"/>
        <v>1.7992927336552347</v>
      </c>
      <c r="H45" s="10">
        <f t="shared" si="3"/>
        <v>2.2595306902499663</v>
      </c>
    </row>
    <row r="46" spans="1:8">
      <c r="C46" s="11"/>
      <c r="D46" s="11"/>
      <c r="E46" s="11"/>
      <c r="F46" s="10"/>
      <c r="G46" s="10"/>
      <c r="H46" s="10"/>
    </row>
    <row r="47" spans="1:8">
      <c r="A47">
        <v>5235</v>
      </c>
      <c r="B47" t="s">
        <v>187</v>
      </c>
      <c r="C47" s="11"/>
      <c r="D47" s="11"/>
      <c r="E47" s="11"/>
      <c r="F47" s="10"/>
      <c r="G47" s="10"/>
      <c r="H47" s="10"/>
    </row>
    <row r="48" spans="1:8">
      <c r="A48">
        <v>523540</v>
      </c>
      <c r="B48" t="s">
        <v>189</v>
      </c>
      <c r="C48" s="11">
        <v>2357228</v>
      </c>
      <c r="D48" s="11">
        <v>2018327</v>
      </c>
      <c r="E48" s="11">
        <f t="shared" si="1"/>
        <v>338901</v>
      </c>
      <c r="F48" s="10">
        <f>+E48/D48*100</f>
        <v>16.791183985548429</v>
      </c>
      <c r="G48" s="10">
        <f t="shared" si="2"/>
        <v>0.2213327469856701</v>
      </c>
      <c r="H48" s="10">
        <f t="shared" si="3"/>
        <v>0.28721653366390953</v>
      </c>
    </row>
    <row r="49" spans="1:8">
      <c r="A49">
        <v>523550</v>
      </c>
      <c r="B49" t="s">
        <v>219</v>
      </c>
      <c r="C49" s="11">
        <v>132360489</v>
      </c>
      <c r="D49" s="11">
        <v>97377071</v>
      </c>
      <c r="E49" s="11">
        <f t="shared" si="1"/>
        <v>34983418</v>
      </c>
      <c r="F49" s="10">
        <f>+E49/D49*100</f>
        <v>35.925724239538894</v>
      </c>
      <c r="G49" s="10">
        <f t="shared" si="2"/>
        <v>12.428034378828254</v>
      </c>
      <c r="H49" s="10">
        <f t="shared" si="3"/>
        <v>13.857172198045417</v>
      </c>
    </row>
    <row r="50" spans="1:8">
      <c r="A50">
        <v>523560</v>
      </c>
      <c r="B50" t="s">
        <v>220</v>
      </c>
      <c r="C50" s="11">
        <v>9765802</v>
      </c>
      <c r="D50" s="11">
        <v>6101841</v>
      </c>
      <c r="E50" s="11">
        <f t="shared" si="1"/>
        <v>3663961</v>
      </c>
      <c r="F50" s="10">
        <f>+E50/D50*100</f>
        <v>60.046812101462486</v>
      </c>
      <c r="G50" s="10">
        <f t="shared" si="2"/>
        <v>0.91696339224638046</v>
      </c>
      <c r="H50" s="10">
        <f t="shared" si="3"/>
        <v>0.8683179786963775</v>
      </c>
    </row>
    <row r="51" spans="1:8">
      <c r="A51">
        <v>523595</v>
      </c>
      <c r="B51" t="s">
        <v>168</v>
      </c>
      <c r="C51" s="11">
        <v>8380235</v>
      </c>
      <c r="D51" s="11">
        <v>3308040</v>
      </c>
      <c r="E51" s="11">
        <f t="shared" si="1"/>
        <v>5072195</v>
      </c>
      <c r="F51" s="10">
        <f>+E51/D51*100</f>
        <v>153.32931282572159</v>
      </c>
      <c r="G51" s="10">
        <f t="shared" si="2"/>
        <v>0.78686509448193243</v>
      </c>
      <c r="H51" s="10">
        <f t="shared" si="3"/>
        <v>0.47074818997197149</v>
      </c>
    </row>
    <row r="52" spans="1:8">
      <c r="A52" t="s">
        <v>169</v>
      </c>
      <c r="B52" t="s">
        <v>187</v>
      </c>
      <c r="C52" s="13">
        <f>SUM(C48:C51)</f>
        <v>152863754</v>
      </c>
      <c r="D52" s="13">
        <f>SUM(D48:D51)</f>
        <v>108805279</v>
      </c>
      <c r="E52" s="11">
        <f t="shared" si="1"/>
        <v>44058475</v>
      </c>
      <c r="F52" s="10">
        <f>+E52/D52*100</f>
        <v>40.492957147786917</v>
      </c>
      <c r="G52" s="10">
        <f t="shared" si="2"/>
        <v>14.353195612542239</v>
      </c>
      <c r="H52" s="10">
        <f t="shared" si="3"/>
        <v>15.483454900377675</v>
      </c>
    </row>
    <row r="53" spans="1:8">
      <c r="C53" s="11"/>
      <c r="D53" s="11"/>
      <c r="E53" s="11"/>
      <c r="F53" s="10"/>
      <c r="G53" s="10"/>
      <c r="H53" s="10"/>
    </row>
    <row r="54" spans="1:8">
      <c r="A54">
        <v>5240</v>
      </c>
      <c r="B54" t="s">
        <v>191</v>
      </c>
      <c r="C54" s="11"/>
      <c r="D54" s="11"/>
      <c r="E54" s="11"/>
      <c r="F54" s="10"/>
      <c r="G54" s="10"/>
      <c r="H54" s="10"/>
    </row>
    <row r="55" spans="1:8">
      <c r="A55">
        <v>524005</v>
      </c>
      <c r="B55" t="s">
        <v>192</v>
      </c>
      <c r="C55" s="11">
        <v>0</v>
      </c>
      <c r="D55" s="11">
        <v>56620</v>
      </c>
      <c r="E55" s="11">
        <f t="shared" si="1"/>
        <v>-56620</v>
      </c>
      <c r="F55" s="10">
        <f>+E55/D55*100</f>
        <v>-100</v>
      </c>
      <c r="G55" s="10">
        <f t="shared" si="2"/>
        <v>0</v>
      </c>
      <c r="H55" s="10">
        <f t="shared" si="3"/>
        <v>8.0572672991297035E-3</v>
      </c>
    </row>
    <row r="56" spans="1:8">
      <c r="A56">
        <v>524020</v>
      </c>
      <c r="B56" t="s">
        <v>221</v>
      </c>
      <c r="C56" s="11">
        <v>54470397</v>
      </c>
      <c r="D56" s="11">
        <v>24408642</v>
      </c>
      <c r="E56" s="11">
        <f>+C56-D56</f>
        <v>30061755</v>
      </c>
      <c r="F56" s="10">
        <f>+E56/D56*100</f>
        <v>123.16029298147761</v>
      </c>
      <c r="G56" s="10">
        <f>+C56/$C$91*100</f>
        <v>5.1145169654399165</v>
      </c>
      <c r="H56" s="10">
        <f>+D56/$D$91*100</f>
        <v>3.4734537796320004</v>
      </c>
    </row>
    <row r="57" spans="1:8">
      <c r="A57">
        <v>524095</v>
      </c>
      <c r="B57" t="s">
        <v>168</v>
      </c>
      <c r="C57" s="11">
        <v>5420792</v>
      </c>
      <c r="D57" s="74">
        <v>24500</v>
      </c>
      <c r="E57" s="11">
        <f t="shared" si="1"/>
        <v>5396292</v>
      </c>
      <c r="F57" s="10">
        <f>+E57/D57*100</f>
        <v>22025.681632653061</v>
      </c>
      <c r="G57" s="10">
        <f t="shared" si="2"/>
        <v>0.50898715957809104</v>
      </c>
      <c r="H57" s="10">
        <f t="shared" si="3"/>
        <v>3.4864544123750928E-3</v>
      </c>
    </row>
    <row r="58" spans="1:8">
      <c r="A58" t="s">
        <v>169</v>
      </c>
      <c r="B58" t="s">
        <v>191</v>
      </c>
      <c r="C58" s="13">
        <f>SUM(C55:C57)</f>
        <v>59891189</v>
      </c>
      <c r="D58" s="13">
        <f>SUM(D55:D57)</f>
        <v>24489762</v>
      </c>
      <c r="E58" s="11">
        <f t="shared" si="1"/>
        <v>35401427</v>
      </c>
      <c r="F58" s="10">
        <f>+E58/D58*100</f>
        <v>144.55602712676423</v>
      </c>
      <c r="G58" s="10">
        <f t="shared" si="2"/>
        <v>5.6235041250180071</v>
      </c>
      <c r="H58" s="10">
        <f t="shared" si="3"/>
        <v>3.4849975013435048</v>
      </c>
    </row>
    <row r="59" spans="1:8">
      <c r="C59" s="11"/>
      <c r="D59" s="11"/>
      <c r="E59" s="11"/>
      <c r="F59" s="10"/>
      <c r="G59" s="10"/>
      <c r="H59" s="10"/>
    </row>
    <row r="60" spans="1:8">
      <c r="A60">
        <v>5245</v>
      </c>
      <c r="B60" t="s">
        <v>194</v>
      </c>
      <c r="C60" s="11"/>
      <c r="D60" s="11"/>
      <c r="E60" s="11"/>
      <c r="F60" s="10"/>
      <c r="G60" s="10"/>
      <c r="H60" s="10"/>
    </row>
    <row r="61" spans="1:8">
      <c r="A61">
        <v>524520</v>
      </c>
      <c r="B61" t="s">
        <v>47</v>
      </c>
      <c r="C61" s="14">
        <v>369968</v>
      </c>
      <c r="D61" s="14">
        <v>330234</v>
      </c>
      <c r="E61" s="11">
        <f t="shared" si="1"/>
        <v>39734</v>
      </c>
      <c r="F61" s="10">
        <f>+E61/D61*100</f>
        <v>12.032074226154787</v>
      </c>
      <c r="G61" s="10">
        <f t="shared" si="2"/>
        <v>3.473827467550631E-2</v>
      </c>
      <c r="H61" s="10">
        <f t="shared" si="3"/>
        <v>4.6993705568011281E-2</v>
      </c>
    </row>
    <row r="62" spans="1:8">
      <c r="A62">
        <v>524540</v>
      </c>
      <c r="B62" t="s">
        <v>49</v>
      </c>
      <c r="C62" s="12">
        <v>1048366</v>
      </c>
      <c r="D62" s="12">
        <v>2263627</v>
      </c>
      <c r="E62" s="11">
        <f t="shared" si="1"/>
        <v>-1215261</v>
      </c>
      <c r="F62" s="10">
        <f>+E62/D62*100</f>
        <v>-53.686450992146675</v>
      </c>
      <c r="G62" s="10">
        <f t="shared" si="2"/>
        <v>9.8436692007043455E-2</v>
      </c>
      <c r="H62" s="10">
        <f t="shared" si="3"/>
        <v>0.32212376906617934</v>
      </c>
    </row>
    <row r="63" spans="1:8">
      <c r="A63" t="s">
        <v>169</v>
      </c>
      <c r="B63" t="s">
        <v>194</v>
      </c>
      <c r="C63" s="12">
        <f>SUM(C61:C62)</f>
        <v>1418334</v>
      </c>
      <c r="D63" s="12">
        <f>SUM(D61:D62)</f>
        <v>2593861</v>
      </c>
      <c r="E63" s="11">
        <f t="shared" si="1"/>
        <v>-1175527</v>
      </c>
      <c r="F63" s="10">
        <f>+E63/D63*100</f>
        <v>-45.319583431803011</v>
      </c>
      <c r="G63" s="10">
        <f t="shared" si="2"/>
        <v>0.13317496668254974</v>
      </c>
      <c r="H63" s="10">
        <f t="shared" si="3"/>
        <v>0.36911747463419065</v>
      </c>
    </row>
    <row r="64" spans="1:8">
      <c r="C64" s="11"/>
      <c r="D64" s="11"/>
      <c r="E64" s="11"/>
      <c r="F64" s="10"/>
      <c r="G64" s="10"/>
      <c r="H64" s="10"/>
    </row>
    <row r="65" spans="1:8">
      <c r="A65">
        <v>5250</v>
      </c>
      <c r="B65" t="s">
        <v>196</v>
      </c>
      <c r="C65" s="11"/>
      <c r="D65" s="11"/>
      <c r="E65" s="11"/>
      <c r="F65" s="10"/>
      <c r="G65" s="10"/>
      <c r="H65" s="10"/>
    </row>
    <row r="66" spans="1:8">
      <c r="A66">
        <v>525095</v>
      </c>
      <c r="B66" t="s">
        <v>168</v>
      </c>
      <c r="C66" s="12">
        <v>128185</v>
      </c>
      <c r="D66" s="12">
        <v>144370</v>
      </c>
      <c r="E66" s="11">
        <f t="shared" si="1"/>
        <v>-16185</v>
      </c>
      <c r="F66" s="10">
        <f>+E66/D66*100</f>
        <v>-11.210777862436794</v>
      </c>
      <c r="G66" s="10">
        <f t="shared" si="2"/>
        <v>1.203597537970791E-2</v>
      </c>
      <c r="H66" s="10">
        <f t="shared" si="3"/>
        <v>2.0544466265901718E-2</v>
      </c>
    </row>
    <row r="67" spans="1:8">
      <c r="A67" t="s">
        <v>169</v>
      </c>
      <c r="B67" t="s">
        <v>196</v>
      </c>
      <c r="C67" s="12">
        <f>SUM(C66)</f>
        <v>128185</v>
      </c>
      <c r="D67" s="12">
        <f>SUM(D66)</f>
        <v>144370</v>
      </c>
      <c r="E67" s="11">
        <f t="shared" si="1"/>
        <v>-16185</v>
      </c>
      <c r="F67" s="10"/>
      <c r="G67" s="10">
        <f t="shared" si="2"/>
        <v>1.203597537970791E-2</v>
      </c>
      <c r="H67" s="10">
        <f t="shared" si="3"/>
        <v>2.0544466265901718E-2</v>
      </c>
    </row>
    <row r="68" spans="1:8">
      <c r="C68" s="11"/>
      <c r="D68" s="11"/>
      <c r="E68" s="11"/>
      <c r="F68" s="10"/>
      <c r="G68" s="10"/>
      <c r="H68" s="10"/>
    </row>
    <row r="69" spans="1:8">
      <c r="A69">
        <v>5255</v>
      </c>
      <c r="B69" t="s">
        <v>222</v>
      </c>
      <c r="C69" s="11"/>
      <c r="D69" s="11"/>
      <c r="E69" s="11"/>
      <c r="F69" s="10"/>
      <c r="G69" s="10"/>
      <c r="H69" s="10"/>
    </row>
    <row r="70" spans="1:8">
      <c r="A70">
        <v>525505</v>
      </c>
      <c r="B70" t="s">
        <v>200</v>
      </c>
      <c r="C70" s="14">
        <v>12522883</v>
      </c>
      <c r="D70" s="71">
        <v>0</v>
      </c>
      <c r="E70" s="11">
        <f t="shared" si="1"/>
        <v>12522883</v>
      </c>
      <c r="F70" s="10" t="e">
        <f>+E70/D70*100</f>
        <v>#DIV/0!</v>
      </c>
      <c r="G70" s="10">
        <f t="shared" si="2"/>
        <v>1.1758404764283086</v>
      </c>
      <c r="H70" s="10">
        <f t="shared" si="3"/>
        <v>0</v>
      </c>
    </row>
    <row r="71" spans="1:8">
      <c r="A71">
        <v>525515</v>
      </c>
      <c r="B71" t="s">
        <v>201</v>
      </c>
      <c r="C71" s="14">
        <v>5998114</v>
      </c>
      <c r="D71" s="71">
        <v>0</v>
      </c>
      <c r="E71" s="11">
        <f t="shared" si="1"/>
        <v>5998114</v>
      </c>
      <c r="F71" s="10" t="e">
        <f>+E71/D71*100</f>
        <v>#DIV/0!</v>
      </c>
      <c r="G71" s="10">
        <f t="shared" si="2"/>
        <v>0.56319501056037236</v>
      </c>
      <c r="H71" s="10">
        <f t="shared" si="3"/>
        <v>0</v>
      </c>
    </row>
    <row r="72" spans="1:8">
      <c r="A72">
        <v>525520</v>
      </c>
      <c r="B72" t="s">
        <v>223</v>
      </c>
      <c r="C72" s="14">
        <v>489000</v>
      </c>
      <c r="D72" s="71">
        <v>0</v>
      </c>
      <c r="E72" s="11">
        <f t="shared" si="1"/>
        <v>489000</v>
      </c>
      <c r="F72" s="10" t="e">
        <f>+E72/D72*100</f>
        <v>#DIV/0!</v>
      </c>
      <c r="G72" s="10">
        <f t="shared" si="2"/>
        <v>4.5914825920951502E-2</v>
      </c>
      <c r="H72" s="10">
        <f t="shared" si="3"/>
        <v>0</v>
      </c>
    </row>
    <row r="73" spans="1:8">
      <c r="A73">
        <v>525595</v>
      </c>
      <c r="B73" t="s">
        <v>168</v>
      </c>
      <c r="C73" s="12">
        <v>7391722</v>
      </c>
      <c r="D73" s="72">
        <v>0</v>
      </c>
      <c r="E73" s="11">
        <f t="shared" si="1"/>
        <v>7391722</v>
      </c>
      <c r="F73" s="10" t="e">
        <f>+E73/D73*100</f>
        <v>#DIV/0!</v>
      </c>
      <c r="G73" s="10">
        <f t="shared" si="2"/>
        <v>0.69404832083040391</v>
      </c>
      <c r="H73" s="10">
        <f t="shared" si="3"/>
        <v>0</v>
      </c>
    </row>
    <row r="74" spans="1:8">
      <c r="A74" t="s">
        <v>169</v>
      </c>
      <c r="B74" t="s">
        <v>222</v>
      </c>
      <c r="C74" s="12">
        <f>SUM(C70:C73)</f>
        <v>26401719</v>
      </c>
      <c r="D74" s="12">
        <f>SUM(D70:D73)</f>
        <v>0</v>
      </c>
      <c r="E74" s="11">
        <f t="shared" si="1"/>
        <v>26401719</v>
      </c>
      <c r="F74" s="10"/>
      <c r="G74" s="10">
        <f t="shared" si="2"/>
        <v>2.4789986337400363</v>
      </c>
      <c r="H74" s="10">
        <f t="shared" si="3"/>
        <v>0</v>
      </c>
    </row>
    <row r="75" spans="1:8">
      <c r="C75" s="11"/>
      <c r="D75" s="11"/>
      <c r="E75" s="11"/>
      <c r="F75" s="10"/>
      <c r="G75" s="10"/>
      <c r="H75" s="10"/>
    </row>
    <row r="76" spans="1:8">
      <c r="A76">
        <v>5260</v>
      </c>
      <c r="B76" t="s">
        <v>202</v>
      </c>
      <c r="C76" s="11"/>
      <c r="D76" s="11"/>
      <c r="E76" s="11"/>
      <c r="F76" s="10"/>
      <c r="G76" s="10"/>
      <c r="H76" s="10"/>
    </row>
    <row r="77" spans="1:8">
      <c r="A77">
        <v>526035</v>
      </c>
      <c r="B77" t="s">
        <v>49</v>
      </c>
      <c r="C77" s="12">
        <v>8224985</v>
      </c>
      <c r="D77" s="12">
        <v>3788721</v>
      </c>
      <c r="E77" s="11">
        <f t="shared" si="1"/>
        <v>4436264</v>
      </c>
      <c r="F77" s="10">
        <f>+E77/D77*100</f>
        <v>117.09133504420093</v>
      </c>
      <c r="G77" s="10">
        <f t="shared" si="2"/>
        <v>0.7722878414671519</v>
      </c>
      <c r="H77" s="10">
        <f t="shared" si="3"/>
        <v>0.53915114480441528</v>
      </c>
    </row>
    <row r="78" spans="1:8">
      <c r="A78" t="s">
        <v>169</v>
      </c>
      <c r="B78" t="s">
        <v>202</v>
      </c>
      <c r="C78" s="12">
        <f>SUM(C77)</f>
        <v>8224985</v>
      </c>
      <c r="D78" s="12">
        <f>SUM(D77)</f>
        <v>3788721</v>
      </c>
      <c r="E78" s="11">
        <f t="shared" si="1"/>
        <v>4436264</v>
      </c>
      <c r="F78" s="10">
        <f>+E78/D78*100</f>
        <v>117.09133504420093</v>
      </c>
      <c r="G78" s="10">
        <f t="shared" si="2"/>
        <v>0.7722878414671519</v>
      </c>
      <c r="H78" s="10">
        <f t="shared" si="3"/>
        <v>0.53915114480441528</v>
      </c>
    </row>
    <row r="79" spans="1:8">
      <c r="C79" s="11"/>
      <c r="D79" s="11"/>
      <c r="E79" s="11"/>
      <c r="F79" s="10"/>
      <c r="G79" s="10"/>
      <c r="H79" s="10"/>
    </row>
    <row r="80" spans="1:8">
      <c r="A80">
        <v>5295</v>
      </c>
      <c r="B80" t="s">
        <v>203</v>
      </c>
      <c r="C80" s="11"/>
      <c r="D80" s="11"/>
      <c r="E80" s="11"/>
      <c r="F80" s="10"/>
      <c r="G80" s="10"/>
      <c r="H80" s="10"/>
    </row>
    <row r="81" spans="1:8">
      <c r="A81">
        <v>529505</v>
      </c>
      <c r="B81" t="s">
        <v>224</v>
      </c>
      <c r="C81" s="11">
        <v>676217740</v>
      </c>
      <c r="D81" s="11">
        <v>499796252</v>
      </c>
      <c r="E81" s="11">
        <f t="shared" ref="E81:E91" si="5">+C81-D81</f>
        <v>176421488</v>
      </c>
      <c r="F81" s="10">
        <f t="shared" ref="F81:F91" si="6">+E81/D81*100</f>
        <v>35.298681671586444</v>
      </c>
      <c r="G81" s="10">
        <f t="shared" ref="G81:G91" si="7">+C81/$C$91*100</f>
        <v>63.493701056767371</v>
      </c>
      <c r="H81" s="10">
        <f t="shared" ref="H81:H91" si="8">+D81/$D$91*100</f>
        <v>71.123136656078927</v>
      </c>
    </row>
    <row r="82" spans="1:8">
      <c r="A82">
        <v>529510</v>
      </c>
      <c r="B82" t="s">
        <v>204</v>
      </c>
      <c r="C82" s="11">
        <v>81779</v>
      </c>
      <c r="D82" s="11">
        <v>0</v>
      </c>
      <c r="E82" s="11">
        <f t="shared" si="5"/>
        <v>81779</v>
      </c>
      <c r="F82" s="10" t="e">
        <f t="shared" si="6"/>
        <v>#DIV/0!</v>
      </c>
      <c r="G82" s="10">
        <f t="shared" si="7"/>
        <v>7.6786677893445664E-3</v>
      </c>
      <c r="H82" s="10">
        <f t="shared" si="8"/>
        <v>0</v>
      </c>
    </row>
    <row r="83" spans="1:8">
      <c r="A83">
        <v>529520</v>
      </c>
      <c r="B83" t="s">
        <v>225</v>
      </c>
      <c r="C83" s="11">
        <v>815224</v>
      </c>
      <c r="D83" s="11">
        <v>1486600</v>
      </c>
      <c r="E83" s="11">
        <f t="shared" si="5"/>
        <v>-671376</v>
      </c>
      <c r="F83" s="10">
        <f t="shared" si="6"/>
        <v>-45.161845822682636</v>
      </c>
      <c r="G83" s="10">
        <f t="shared" si="7"/>
        <v>7.6545742426547575E-2</v>
      </c>
      <c r="H83" s="10">
        <f t="shared" si="8"/>
        <v>0.21154951548721687</v>
      </c>
    </row>
    <row r="84" spans="1:8">
      <c r="A84">
        <v>529530</v>
      </c>
      <c r="B84" t="s">
        <v>208</v>
      </c>
      <c r="C84" s="11">
        <v>1437876</v>
      </c>
      <c r="D84" s="11">
        <v>369383</v>
      </c>
      <c r="E84" s="11">
        <f t="shared" si="5"/>
        <v>1068493</v>
      </c>
      <c r="F84" s="10">
        <f t="shared" si="6"/>
        <v>289.26425958964001</v>
      </c>
      <c r="G84" s="10">
        <f t="shared" si="7"/>
        <v>0.13500986960309624</v>
      </c>
      <c r="H84" s="10">
        <f t="shared" si="8"/>
        <v>5.2564775110463223E-2</v>
      </c>
    </row>
    <row r="85" spans="1:8">
      <c r="A85">
        <v>529535</v>
      </c>
      <c r="B85" t="s">
        <v>209</v>
      </c>
      <c r="C85" s="11">
        <v>2192271</v>
      </c>
      <c r="D85" s="11">
        <v>1183281</v>
      </c>
      <c r="E85" s="11">
        <f t="shared" si="5"/>
        <v>1008990</v>
      </c>
      <c r="F85" s="10">
        <f t="shared" si="6"/>
        <v>85.270531682668775</v>
      </c>
      <c r="G85" s="10">
        <f t="shared" si="7"/>
        <v>0.20584405181298623</v>
      </c>
      <c r="H85" s="10">
        <f t="shared" si="8"/>
        <v>0.16838592912365763</v>
      </c>
    </row>
    <row r="86" spans="1:8">
      <c r="A86">
        <v>529545</v>
      </c>
      <c r="B86" t="s">
        <v>210</v>
      </c>
      <c r="C86" s="11">
        <v>258600</v>
      </c>
      <c r="D86" s="11">
        <v>0</v>
      </c>
      <c r="E86" s="11">
        <f t="shared" si="5"/>
        <v>258600</v>
      </c>
      <c r="F86" s="10" t="e">
        <f t="shared" si="6"/>
        <v>#DIV/0!</v>
      </c>
      <c r="G86" s="10">
        <f t="shared" si="7"/>
        <v>2.4281337388871286E-2</v>
      </c>
      <c r="H86" s="10">
        <f t="shared" si="8"/>
        <v>0</v>
      </c>
    </row>
    <row r="87" spans="1:8">
      <c r="A87">
        <v>529560</v>
      </c>
      <c r="B87" t="s">
        <v>211</v>
      </c>
      <c r="C87" s="11">
        <v>804504</v>
      </c>
      <c r="D87" s="11">
        <v>26000</v>
      </c>
      <c r="E87" s="11">
        <f t="shared" si="5"/>
        <v>778504</v>
      </c>
      <c r="F87" s="10">
        <f t="shared" si="6"/>
        <v>2994.2461538461539</v>
      </c>
      <c r="G87" s="10">
        <f t="shared" si="7"/>
        <v>7.553918427956885E-2</v>
      </c>
      <c r="H87" s="10">
        <f t="shared" si="8"/>
        <v>3.6999108049694867E-3</v>
      </c>
    </row>
    <row r="88" spans="1:8">
      <c r="A88">
        <v>529565</v>
      </c>
      <c r="B88" t="s">
        <v>212</v>
      </c>
      <c r="C88" s="11">
        <v>146600</v>
      </c>
      <c r="D88" s="11">
        <v>2100</v>
      </c>
      <c r="E88" s="11">
        <f t="shared" si="5"/>
        <v>144500</v>
      </c>
      <c r="F88" s="10">
        <f t="shared" si="6"/>
        <v>6880.9523809523807</v>
      </c>
      <c r="G88" s="10">
        <f t="shared" si="7"/>
        <v>1.3765058241332291E-2</v>
      </c>
      <c r="H88" s="10">
        <f t="shared" si="8"/>
        <v>2.988389496321508E-4</v>
      </c>
    </row>
    <row r="89" spans="1:8">
      <c r="A89">
        <v>529595</v>
      </c>
      <c r="B89" t="s">
        <v>168</v>
      </c>
      <c r="C89" s="12">
        <v>3754893</v>
      </c>
      <c r="D89" s="12">
        <v>45852</v>
      </c>
      <c r="E89" s="11">
        <f t="shared" si="5"/>
        <v>3709041</v>
      </c>
      <c r="F89" s="10">
        <f t="shared" si="6"/>
        <v>8089.1585972258572</v>
      </c>
      <c r="G89" s="10">
        <f t="shared" si="7"/>
        <v>0.35256699068875125</v>
      </c>
      <c r="H89" s="10">
        <f t="shared" si="8"/>
        <v>6.5249350088254186E-3</v>
      </c>
    </row>
    <row r="90" spans="1:8">
      <c r="A90" t="s">
        <v>169</v>
      </c>
      <c r="B90" t="s">
        <v>203</v>
      </c>
      <c r="C90" s="12">
        <f>SUM(C81:C89)</f>
        <v>685709487</v>
      </c>
      <c r="D90" s="12">
        <f>SUM(D81:D89)</f>
        <v>502909468</v>
      </c>
      <c r="E90" s="11">
        <f t="shared" si="5"/>
        <v>182800019</v>
      </c>
      <c r="F90" s="10">
        <f t="shared" si="6"/>
        <v>36.348494238330787</v>
      </c>
      <c r="G90" s="10">
        <f t="shared" si="7"/>
        <v>64.384931958997868</v>
      </c>
      <c r="H90" s="10">
        <f t="shared" si="8"/>
        <v>71.566160560563702</v>
      </c>
    </row>
    <row r="91" spans="1:8" ht="13.8" thickBot="1">
      <c r="A91" t="s">
        <v>215</v>
      </c>
      <c r="B91" t="s">
        <v>216</v>
      </c>
      <c r="C91" s="15">
        <f>+C30+C34+C39+C45+C52+C58+C63+C67+C74+C78+C90</f>
        <v>1065015472</v>
      </c>
      <c r="D91" s="15">
        <f>+D30+D34+D39+D45+D52+D58+D63+D67+D74+D78+D90</f>
        <v>702719643</v>
      </c>
      <c r="E91" s="11">
        <f t="shared" si="5"/>
        <v>362295829</v>
      </c>
      <c r="F91" s="10">
        <f t="shared" si="6"/>
        <v>51.556240473556826</v>
      </c>
      <c r="G91" s="10">
        <f t="shared" si="7"/>
        <v>100</v>
      </c>
      <c r="H91" s="10">
        <f t="shared" si="8"/>
        <v>100</v>
      </c>
    </row>
    <row r="92" spans="1:8" ht="13.8" thickTop="1"/>
  </sheetData>
  <mergeCells count="2">
    <mergeCell ref="B4:G4"/>
    <mergeCell ref="B3:G3"/>
  </mergeCells>
  <phoneticPr fontId="0" type="noConversion"/>
  <printOptions horizontalCentered="1"/>
  <pageMargins left="0.75" right="0.75" top="1" bottom="1" header="0" footer="0"/>
  <pageSetup scale="76" orientation="portrait" horizontalDpi="300" verticalDpi="14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57"/>
  <sheetViews>
    <sheetView view="pageBreakPreview" zoomScale="60" zoomScaleNormal="75" workbookViewId="0">
      <selection activeCell="F1" sqref="F1"/>
    </sheetView>
  </sheetViews>
  <sheetFormatPr baseColWidth="10" defaultColWidth="11.44140625" defaultRowHeight="13.2"/>
  <cols>
    <col min="1" max="1" width="32.44140625" customWidth="1"/>
    <col min="2" max="2" width="16.6640625" customWidth="1"/>
    <col min="3" max="3" width="19.44140625" customWidth="1"/>
    <col min="4" max="4" width="17" customWidth="1"/>
    <col min="5" max="5" width="8.88671875" customWidth="1"/>
    <col min="6" max="7" width="8.6640625" customWidth="1"/>
  </cols>
  <sheetData>
    <row r="3" spans="1:7" ht="22.8">
      <c r="A3" s="132" t="s">
        <v>370</v>
      </c>
      <c r="B3" s="132"/>
      <c r="C3" s="132"/>
      <c r="D3" s="132"/>
      <c r="E3" s="132"/>
      <c r="F3" s="132"/>
      <c r="G3" s="132"/>
    </row>
    <row r="4" spans="1:7" ht="22.8">
      <c r="A4" s="132" t="s">
        <v>114</v>
      </c>
      <c r="B4" s="132"/>
      <c r="C4" s="132"/>
      <c r="D4" s="132"/>
      <c r="E4" s="132"/>
      <c r="F4" s="132"/>
      <c r="G4" s="132"/>
    </row>
    <row r="6" spans="1:7">
      <c r="A6" s="2" t="s">
        <v>148</v>
      </c>
      <c r="B6" s="89" t="s">
        <v>366</v>
      </c>
      <c r="C6" s="89" t="s">
        <v>366</v>
      </c>
      <c r="D6" s="89" t="s">
        <v>110</v>
      </c>
      <c r="E6" s="83" t="s">
        <v>111</v>
      </c>
      <c r="F6" s="83" t="s">
        <v>113</v>
      </c>
      <c r="G6" s="84" t="s">
        <v>113</v>
      </c>
    </row>
    <row r="7" spans="1:7">
      <c r="A7" s="5"/>
      <c r="B7" s="6">
        <v>2000</v>
      </c>
      <c r="C7" s="6">
        <v>1999</v>
      </c>
      <c r="D7" s="6"/>
      <c r="E7" s="6" t="s">
        <v>112</v>
      </c>
      <c r="F7" s="7">
        <v>36831</v>
      </c>
      <c r="G7" s="7">
        <v>36465</v>
      </c>
    </row>
    <row r="9" spans="1:7">
      <c r="A9" t="s">
        <v>0</v>
      </c>
    </row>
    <row r="11" spans="1:7">
      <c r="A11" s="9" t="s">
        <v>1</v>
      </c>
    </row>
    <row r="12" spans="1:7">
      <c r="A12" s="9"/>
    </row>
    <row r="13" spans="1:7">
      <c r="A13" s="9" t="s">
        <v>2</v>
      </c>
    </row>
    <row r="14" spans="1:7">
      <c r="A14" t="s">
        <v>3</v>
      </c>
      <c r="B14" s="11">
        <v>6896761</v>
      </c>
      <c r="C14" s="11">
        <v>6967801</v>
      </c>
      <c r="D14" s="11">
        <f>+B14-C14</f>
        <v>-71040</v>
      </c>
      <c r="E14" s="10">
        <f>+D14/C14*100</f>
        <v>-1.019546913007418</v>
      </c>
      <c r="F14" s="10">
        <f>+B14/$B$87*100</f>
        <v>4.1991738057593979E-2</v>
      </c>
      <c r="G14" s="10">
        <f>+C14/$C$87*100</f>
        <v>3.9830386108819033E-2</v>
      </c>
    </row>
    <row r="15" spans="1:7">
      <c r="A15" t="s">
        <v>4</v>
      </c>
      <c r="B15" s="11">
        <v>713960527.16999996</v>
      </c>
      <c r="C15" s="11">
        <v>158523676.47999999</v>
      </c>
      <c r="D15" s="11">
        <f t="shared" ref="D15:D75" si="0">+B15-C15</f>
        <v>555436850.68999994</v>
      </c>
      <c r="E15" s="10">
        <f>+D15/C15*100</f>
        <v>350.38100492204785</v>
      </c>
      <c r="F15" s="10">
        <f t="shared" ref="F15:F75" si="1">+B15/$B$87*100</f>
        <v>4.3470323881579116</v>
      </c>
      <c r="G15" s="10">
        <f t="shared" ref="G15:G75" si="2">+C15/$C$87*100</f>
        <v>0.90617674666482484</v>
      </c>
    </row>
    <row r="16" spans="1:7">
      <c r="A16" t="s">
        <v>5</v>
      </c>
      <c r="B16" s="11">
        <v>274061502.5</v>
      </c>
      <c r="C16" s="11">
        <v>11438592.48</v>
      </c>
      <c r="D16" s="11">
        <f t="shared" si="0"/>
        <v>262622910.02000001</v>
      </c>
      <c r="E16" s="10">
        <f>+D16/C16*100</f>
        <v>2295.9372884311374</v>
      </c>
      <c r="F16" s="10">
        <f t="shared" si="1"/>
        <v>1.6686555942203358</v>
      </c>
      <c r="G16" s="10">
        <f t="shared" si="2"/>
        <v>6.538699297236443E-2</v>
      </c>
    </row>
    <row r="17" spans="1:7">
      <c r="A17" t="s">
        <v>6</v>
      </c>
      <c r="B17" s="13">
        <f>SUM(B14:B16)</f>
        <v>994918790.66999996</v>
      </c>
      <c r="C17" s="13">
        <f>SUM(C14:C16)</f>
        <v>176930069.95999998</v>
      </c>
      <c r="D17" s="13">
        <f t="shared" si="0"/>
        <v>817988720.71000004</v>
      </c>
      <c r="E17" s="10">
        <f>+D17/C17*100</f>
        <v>462.32317711451162</v>
      </c>
      <c r="F17" s="10">
        <f t="shared" si="1"/>
        <v>6.057679720435841</v>
      </c>
      <c r="G17" s="10">
        <f t="shared" si="2"/>
        <v>1.0113941257460082</v>
      </c>
    </row>
    <row r="18" spans="1:7">
      <c r="B18" s="11"/>
      <c r="C18" s="11"/>
      <c r="D18" s="11"/>
      <c r="E18" s="10"/>
      <c r="F18" s="10"/>
      <c r="G18" s="10"/>
    </row>
    <row r="19" spans="1:7">
      <c r="A19" t="s">
        <v>7</v>
      </c>
      <c r="B19" s="11"/>
      <c r="C19" s="11"/>
      <c r="D19" s="11"/>
      <c r="E19" s="10"/>
      <c r="F19" s="10"/>
      <c r="G19" s="10"/>
    </row>
    <row r="20" spans="1:7">
      <c r="A20" t="s">
        <v>8</v>
      </c>
      <c r="B20" s="11">
        <v>4610247990</v>
      </c>
      <c r="C20" s="11">
        <v>3485880695.75</v>
      </c>
      <c r="D20" s="11">
        <f t="shared" si="0"/>
        <v>1124367294.25</v>
      </c>
      <c r="E20" s="10">
        <f>+D20/C20*100</f>
        <v>32.254898901756249</v>
      </c>
      <c r="F20" s="10">
        <f t="shared" si="1"/>
        <v>28.070035481384544</v>
      </c>
      <c r="G20" s="10">
        <f t="shared" si="2"/>
        <v>19.926512545493363</v>
      </c>
    </row>
    <row r="21" spans="1:7">
      <c r="A21" t="s">
        <v>9</v>
      </c>
      <c r="B21" s="11">
        <v>0</v>
      </c>
      <c r="C21" s="11">
        <v>0</v>
      </c>
      <c r="D21" s="11">
        <f t="shared" si="0"/>
        <v>0</v>
      </c>
      <c r="E21" s="10"/>
      <c r="F21" s="10">
        <f t="shared" si="1"/>
        <v>0</v>
      </c>
      <c r="G21" s="10">
        <f t="shared" si="2"/>
        <v>0</v>
      </c>
    </row>
    <row r="22" spans="1:7">
      <c r="A22" t="s">
        <v>10</v>
      </c>
      <c r="B22" s="12">
        <v>3488921.21</v>
      </c>
      <c r="C22" s="12">
        <v>149494203.99000001</v>
      </c>
      <c r="D22" s="11">
        <f t="shared" si="0"/>
        <v>-146005282.78</v>
      </c>
      <c r="E22" s="10">
        <f>+D22/C22*100</f>
        <v>-97.666182957679496</v>
      </c>
      <c r="F22" s="10">
        <f t="shared" si="1"/>
        <v>2.124270589540566E-2</v>
      </c>
      <c r="G22" s="10">
        <f t="shared" si="2"/>
        <v>0.85456112566249454</v>
      </c>
    </row>
    <row r="23" spans="1:7">
      <c r="A23" t="s">
        <v>11</v>
      </c>
      <c r="B23" s="13">
        <f>SUM(B20:B22)</f>
        <v>4613736911.21</v>
      </c>
      <c r="C23" s="13">
        <f>SUM(C20:C22)</f>
        <v>3635374899.7399998</v>
      </c>
      <c r="D23" s="13">
        <f t="shared" si="0"/>
        <v>978362011.47000027</v>
      </c>
      <c r="E23" s="10">
        <f>+D23/C23*100</f>
        <v>26.912272831612832</v>
      </c>
      <c r="F23" s="10">
        <f t="shared" si="1"/>
        <v>28.091278187279951</v>
      </c>
      <c r="G23" s="10">
        <f t="shared" si="2"/>
        <v>20.781073671155859</v>
      </c>
    </row>
    <row r="24" spans="1:7">
      <c r="B24" s="11"/>
      <c r="C24" s="11"/>
      <c r="D24" s="11"/>
      <c r="E24" s="10"/>
      <c r="F24" s="10"/>
      <c r="G24" s="10"/>
    </row>
    <row r="25" spans="1:7">
      <c r="A25" t="s">
        <v>12</v>
      </c>
      <c r="B25" s="11"/>
      <c r="C25" s="11"/>
      <c r="D25" s="11"/>
      <c r="E25" s="10"/>
      <c r="F25" s="10"/>
      <c r="G25" s="10"/>
    </row>
    <row r="26" spans="1:7">
      <c r="A26" t="s">
        <v>13</v>
      </c>
      <c r="B26" s="11">
        <v>1332097936</v>
      </c>
      <c r="C26" s="11">
        <v>2525902142.9200001</v>
      </c>
      <c r="D26" s="11">
        <f t="shared" si="0"/>
        <v>-1193804206.9200001</v>
      </c>
      <c r="E26" s="10">
        <f t="shared" ref="E26:E35" si="3">+D26/C26*100</f>
        <v>-47.26248838523631</v>
      </c>
      <c r="F26" s="10">
        <f t="shared" si="1"/>
        <v>8.1106344841547475</v>
      </c>
      <c r="G26" s="10">
        <f t="shared" si="2"/>
        <v>14.438939577292317</v>
      </c>
    </row>
    <row r="27" spans="1:7">
      <c r="A27" t="s">
        <v>14</v>
      </c>
      <c r="B27" s="11">
        <v>0</v>
      </c>
      <c r="C27" s="11">
        <v>30421200</v>
      </c>
      <c r="D27" s="11">
        <f t="shared" si="0"/>
        <v>-30421200</v>
      </c>
      <c r="E27" s="10">
        <f t="shared" si="3"/>
        <v>-100</v>
      </c>
      <c r="F27" s="10">
        <f t="shared" si="1"/>
        <v>0</v>
      </c>
      <c r="G27" s="10">
        <f t="shared" si="2"/>
        <v>0.17389821292163848</v>
      </c>
    </row>
    <row r="28" spans="1:7">
      <c r="A28" t="s">
        <v>15</v>
      </c>
      <c r="B28" s="11">
        <v>101905371</v>
      </c>
      <c r="C28" s="11">
        <v>7083995</v>
      </c>
      <c r="D28" s="11">
        <f t="shared" si="0"/>
        <v>94821376</v>
      </c>
      <c r="E28" s="10">
        <f t="shared" si="3"/>
        <v>1338.5296855799588</v>
      </c>
      <c r="F28" s="10">
        <f t="shared" si="1"/>
        <v>0.62046280068193371</v>
      </c>
      <c r="G28" s="10">
        <f t="shared" si="2"/>
        <v>4.0494591628398038E-2</v>
      </c>
    </row>
    <row r="29" spans="1:7">
      <c r="A29" t="s">
        <v>16</v>
      </c>
      <c r="B29" s="11">
        <v>0</v>
      </c>
      <c r="C29" s="11">
        <v>75557158</v>
      </c>
      <c r="D29" s="11">
        <f t="shared" si="0"/>
        <v>-75557158</v>
      </c>
      <c r="E29" s="10">
        <f t="shared" si="3"/>
        <v>-100</v>
      </c>
      <c r="F29" s="10">
        <f t="shared" si="1"/>
        <v>0</v>
      </c>
      <c r="G29" s="10">
        <f t="shared" si="2"/>
        <v>0.4319111261106689</v>
      </c>
    </row>
    <row r="30" spans="1:7">
      <c r="A30" t="s">
        <v>17</v>
      </c>
      <c r="B30" s="11">
        <v>235773980</v>
      </c>
      <c r="C30" s="11">
        <v>198430571.22</v>
      </c>
      <c r="D30" s="11">
        <f t="shared" si="0"/>
        <v>37343408.780000001</v>
      </c>
      <c r="E30" s="10">
        <f t="shared" si="3"/>
        <v>18.819382794900772</v>
      </c>
      <c r="F30" s="10">
        <f t="shared" si="1"/>
        <v>1.4355375239125152</v>
      </c>
      <c r="G30" s="10">
        <f t="shared" si="2"/>
        <v>1.1342985064421491</v>
      </c>
    </row>
    <row r="31" spans="1:7">
      <c r="A31" t="s">
        <v>18</v>
      </c>
      <c r="B31" s="11">
        <v>338191310.04000002</v>
      </c>
      <c r="C31" s="11">
        <v>225921126.66</v>
      </c>
      <c r="D31" s="11">
        <f t="shared" si="0"/>
        <v>112270183.38000003</v>
      </c>
      <c r="E31" s="10">
        <f t="shared" si="3"/>
        <v>49.694415497918897</v>
      </c>
      <c r="F31" s="10">
        <f t="shared" si="1"/>
        <v>2.0591174472414275</v>
      </c>
      <c r="G31" s="10">
        <f t="shared" si="2"/>
        <v>1.2914441306528714</v>
      </c>
    </row>
    <row r="32" spans="1:7">
      <c r="A32" t="s">
        <v>19</v>
      </c>
      <c r="B32" s="11">
        <v>48074727</v>
      </c>
      <c r="C32" s="11">
        <v>39422462</v>
      </c>
      <c r="D32" s="11">
        <f t="shared" si="0"/>
        <v>8652265</v>
      </c>
      <c r="E32" s="10">
        <f t="shared" si="3"/>
        <v>21.94755111946078</v>
      </c>
      <c r="F32" s="10">
        <f t="shared" si="1"/>
        <v>0.29270861254643171</v>
      </c>
      <c r="G32" s="10">
        <f t="shared" si="2"/>
        <v>0.22535257290216038</v>
      </c>
    </row>
    <row r="33" spans="1:7">
      <c r="A33" t="s">
        <v>20</v>
      </c>
      <c r="B33" s="11">
        <v>122469340</v>
      </c>
      <c r="C33" s="11">
        <v>65875206</v>
      </c>
      <c r="D33" s="11">
        <f t="shared" si="0"/>
        <v>56594134</v>
      </c>
      <c r="E33" s="10">
        <f t="shared" si="3"/>
        <v>85.911130205801555</v>
      </c>
      <c r="F33" s="10">
        <f t="shared" si="1"/>
        <v>0.74566893725422945</v>
      </c>
      <c r="G33" s="10">
        <f t="shared" si="2"/>
        <v>0.37656570415515483</v>
      </c>
    </row>
    <row r="34" spans="1:7">
      <c r="A34" t="s">
        <v>21</v>
      </c>
      <c r="B34" s="11">
        <v>0</v>
      </c>
      <c r="C34" s="11">
        <v>-32092000</v>
      </c>
      <c r="D34" s="11">
        <f t="shared" si="0"/>
        <v>32092000</v>
      </c>
      <c r="E34" s="10">
        <f t="shared" si="3"/>
        <v>-100</v>
      </c>
      <c r="F34" s="10">
        <f t="shared" si="1"/>
        <v>0</v>
      </c>
      <c r="G34" s="10">
        <f t="shared" si="2"/>
        <v>-0.18344908974929397</v>
      </c>
    </row>
    <row r="35" spans="1:7">
      <c r="A35" t="s">
        <v>22</v>
      </c>
      <c r="B35" s="13">
        <f>SUM(B26:B34)</f>
        <v>2178512664.04</v>
      </c>
      <c r="C35" s="13">
        <f>SUM(C26:C34)</f>
        <v>3136521861.7999997</v>
      </c>
      <c r="D35" s="13">
        <f t="shared" si="0"/>
        <v>-958009197.75999975</v>
      </c>
      <c r="E35" s="10">
        <f t="shared" si="3"/>
        <v>-30.543679909510136</v>
      </c>
      <c r="F35" s="10">
        <f t="shared" si="1"/>
        <v>13.264129805791287</v>
      </c>
      <c r="G35" s="10">
        <f t="shared" si="2"/>
        <v>17.929455332356063</v>
      </c>
    </row>
    <row r="36" spans="1:7">
      <c r="B36" s="11"/>
      <c r="C36" s="11"/>
      <c r="D36" s="11"/>
      <c r="E36" s="10"/>
      <c r="F36" s="10"/>
      <c r="G36" s="10"/>
    </row>
    <row r="37" spans="1:7">
      <c r="A37" t="s">
        <v>23</v>
      </c>
      <c r="B37" s="11"/>
      <c r="C37" s="11"/>
      <c r="D37" s="11"/>
      <c r="E37" s="10"/>
      <c r="F37" s="10"/>
      <c r="G37" s="10"/>
    </row>
    <row r="38" spans="1:7">
      <c r="A38" t="s">
        <v>24</v>
      </c>
      <c r="B38" s="11">
        <v>346281396.27999997</v>
      </c>
      <c r="C38" s="11">
        <v>588831200.5</v>
      </c>
      <c r="D38" s="11">
        <f t="shared" si="0"/>
        <v>-242549804.22000003</v>
      </c>
      <c r="E38" s="10">
        <f t="shared" ref="E38:E45" si="4">+D38/C38*100</f>
        <v>-41.19173780432174</v>
      </c>
      <c r="F38" s="10">
        <f t="shared" si="1"/>
        <v>2.1083748859511959</v>
      </c>
      <c r="G38" s="10">
        <f t="shared" si="2"/>
        <v>3.3659649678333854</v>
      </c>
    </row>
    <row r="39" spans="1:7">
      <c r="A39" t="s">
        <v>25</v>
      </c>
      <c r="B39" s="11">
        <v>0</v>
      </c>
      <c r="C39" s="11">
        <v>0</v>
      </c>
      <c r="D39" s="11">
        <f t="shared" si="0"/>
        <v>0</v>
      </c>
      <c r="E39" s="10"/>
      <c r="F39" s="10">
        <f t="shared" si="1"/>
        <v>0</v>
      </c>
      <c r="G39" s="10">
        <f t="shared" si="2"/>
        <v>0</v>
      </c>
    </row>
    <row r="40" spans="1:7">
      <c r="A40" t="s">
        <v>26</v>
      </c>
      <c r="B40" s="11">
        <v>125921832.34999999</v>
      </c>
      <c r="C40" s="11">
        <v>184640680.16999999</v>
      </c>
      <c r="D40" s="11">
        <f t="shared" si="0"/>
        <v>-58718847.819999993</v>
      </c>
      <c r="E40" s="10">
        <f t="shared" si="4"/>
        <v>-31.801685178985007</v>
      </c>
      <c r="F40" s="10">
        <f t="shared" si="1"/>
        <v>0.76668984176390387</v>
      </c>
      <c r="G40" s="10">
        <f t="shared" si="2"/>
        <v>1.0554706689479312</v>
      </c>
    </row>
    <row r="41" spans="1:7">
      <c r="A41" t="s">
        <v>27</v>
      </c>
      <c r="B41" s="11">
        <v>721.15</v>
      </c>
      <c r="C41" s="11">
        <v>14744755.27</v>
      </c>
      <c r="D41" s="11">
        <f t="shared" si="0"/>
        <v>-14744034.119999999</v>
      </c>
      <c r="E41" s="10">
        <f t="shared" si="4"/>
        <v>-99.995109108379253</v>
      </c>
      <c r="F41" s="10">
        <f t="shared" si="1"/>
        <v>4.3908063365156335E-6</v>
      </c>
      <c r="G41" s="10">
        <f t="shared" si="2"/>
        <v>8.4286175148248946E-2</v>
      </c>
    </row>
    <row r="42" spans="1:7">
      <c r="A42" t="s">
        <v>28</v>
      </c>
      <c r="B42" s="11">
        <v>28514957.16</v>
      </c>
      <c r="C42" s="11">
        <v>6442126.4000000004</v>
      </c>
      <c r="D42" s="11">
        <f t="shared" si="0"/>
        <v>22072830.759999998</v>
      </c>
      <c r="E42" s="10">
        <f t="shared" si="4"/>
        <v>342.63268662347264</v>
      </c>
      <c r="F42" s="10">
        <f t="shared" si="1"/>
        <v>0.17361666031144679</v>
      </c>
      <c r="G42" s="10">
        <f t="shared" si="2"/>
        <v>3.6825446345815034E-2</v>
      </c>
    </row>
    <row r="43" spans="1:7">
      <c r="A43" t="s">
        <v>29</v>
      </c>
      <c r="B43" s="11">
        <v>241801193</v>
      </c>
      <c r="C43" s="11">
        <v>48902725</v>
      </c>
      <c r="D43" s="11">
        <f t="shared" si="0"/>
        <v>192898468</v>
      </c>
      <c r="E43" s="10">
        <f t="shared" si="4"/>
        <v>394.45341338340552</v>
      </c>
      <c r="F43" s="10">
        <f t="shared" si="1"/>
        <v>1.4722349170095537</v>
      </c>
      <c r="G43" s="10">
        <f t="shared" si="2"/>
        <v>0.27954507003334295</v>
      </c>
    </row>
    <row r="44" spans="1:7">
      <c r="A44" t="s">
        <v>30</v>
      </c>
      <c r="B44" s="12">
        <v>0</v>
      </c>
      <c r="C44" s="12">
        <v>19327255</v>
      </c>
      <c r="D44" s="11">
        <f t="shared" si="0"/>
        <v>-19327255</v>
      </c>
      <c r="E44" s="10">
        <f t="shared" si="4"/>
        <v>-100</v>
      </c>
      <c r="F44" s="10">
        <f t="shared" si="1"/>
        <v>0</v>
      </c>
      <c r="G44" s="10">
        <f t="shared" si="2"/>
        <v>0.11048134541638073</v>
      </c>
    </row>
    <row r="45" spans="1:7">
      <c r="A45" t="s">
        <v>31</v>
      </c>
      <c r="B45" s="13">
        <f>SUM(B38:B44)</f>
        <v>742520099.94000006</v>
      </c>
      <c r="C45" s="13">
        <f>SUM(C38:C44)</f>
        <v>862888742.33999991</v>
      </c>
      <c r="D45" s="13">
        <f t="shared" si="0"/>
        <v>-120368642.39999986</v>
      </c>
      <c r="E45" s="10">
        <f t="shared" si="4"/>
        <v>-13.949497367827703</v>
      </c>
      <c r="F45" s="10">
        <f t="shared" si="1"/>
        <v>4.5209206958424373</v>
      </c>
      <c r="G45" s="10">
        <f t="shared" si="2"/>
        <v>4.9325736737251038</v>
      </c>
    </row>
    <row r="46" spans="1:7">
      <c r="B46" s="11"/>
      <c r="C46" s="11"/>
      <c r="D46" s="11"/>
      <c r="E46" s="10"/>
      <c r="F46" s="10"/>
      <c r="G46" s="10"/>
    </row>
    <row r="47" spans="1:7">
      <c r="A47" t="s">
        <v>32</v>
      </c>
      <c r="B47" s="11"/>
      <c r="C47" s="11"/>
      <c r="D47" s="11"/>
      <c r="E47" s="10"/>
      <c r="F47" s="10"/>
      <c r="G47" s="10"/>
    </row>
    <row r="48" spans="1:7">
      <c r="A48" t="s">
        <v>33</v>
      </c>
      <c r="B48" s="12">
        <v>129000</v>
      </c>
      <c r="C48" s="12">
        <v>258000</v>
      </c>
      <c r="D48" s="11">
        <f t="shared" si="0"/>
        <v>-129000</v>
      </c>
      <c r="E48" s="10">
        <f>+D48/C48*100</f>
        <v>-50</v>
      </c>
      <c r="F48" s="10">
        <f t="shared" si="1"/>
        <v>7.8543162644459093E-4</v>
      </c>
      <c r="G48" s="10">
        <f t="shared" si="2"/>
        <v>1.4748181838251852E-3</v>
      </c>
    </row>
    <row r="49" spans="1:7">
      <c r="A49" t="s">
        <v>34</v>
      </c>
      <c r="B49" s="13">
        <f>SUM(B47:B48)</f>
        <v>129000</v>
      </c>
      <c r="C49" s="13">
        <f>SUM(C47:C48)</f>
        <v>258000</v>
      </c>
      <c r="D49" s="13">
        <f t="shared" si="0"/>
        <v>-129000</v>
      </c>
      <c r="E49" s="10">
        <f>+D49/C49*100</f>
        <v>-50</v>
      </c>
      <c r="F49" s="10">
        <f t="shared" si="1"/>
        <v>7.8543162644459093E-4</v>
      </c>
      <c r="G49" s="10">
        <f t="shared" si="2"/>
        <v>1.4748181838251852E-3</v>
      </c>
    </row>
    <row r="50" spans="1:7">
      <c r="A50" t="s">
        <v>35</v>
      </c>
      <c r="B50" s="13">
        <f>+B17+B23+B35+B45+B49</f>
        <v>8529817465.8600006</v>
      </c>
      <c r="C50" s="13">
        <f>+C17+C23+C35+C45+C49</f>
        <v>7811973573.8400002</v>
      </c>
      <c r="D50" s="13">
        <f t="shared" si="0"/>
        <v>717843892.02000046</v>
      </c>
      <c r="E50" s="10">
        <f>+D50/C50*100</f>
        <v>9.1890209975088535</v>
      </c>
      <c r="F50" s="10">
        <f t="shared" si="1"/>
        <v>51.934793840975971</v>
      </c>
      <c r="G50" s="10">
        <f t="shared" si="2"/>
        <v>44.655971621166863</v>
      </c>
    </row>
    <row r="51" spans="1:7">
      <c r="B51" s="11"/>
      <c r="C51" s="11"/>
      <c r="D51" s="11"/>
      <c r="E51" s="10"/>
      <c r="F51" s="10"/>
      <c r="G51" s="10"/>
    </row>
    <row r="52" spans="1:7">
      <c r="A52" t="s">
        <v>37</v>
      </c>
      <c r="B52" s="11">
        <v>12000000</v>
      </c>
      <c r="C52" s="11">
        <v>12000000</v>
      </c>
      <c r="D52" s="11">
        <f>+B52-C52</f>
        <v>0</v>
      </c>
      <c r="E52" s="10">
        <f>+D52/C52*100</f>
        <v>0</v>
      </c>
      <c r="F52" s="10">
        <f>+B52/$B$87*100</f>
        <v>7.3063407111124745E-2</v>
      </c>
      <c r="G52" s="10">
        <f>+C52/$C$87*100</f>
        <v>6.8596194596520249E-2</v>
      </c>
    </row>
    <row r="53" spans="1:7">
      <c r="A53" t="s">
        <v>30</v>
      </c>
      <c r="B53" s="11">
        <v>41094864</v>
      </c>
      <c r="C53" s="11">
        <v>36756859</v>
      </c>
      <c r="D53" s="11">
        <f>+B53-C53</f>
        <v>4338005</v>
      </c>
      <c r="E53" s="10">
        <f>+D53/C53*100</f>
        <v>11.801892539294503</v>
      </c>
      <c r="F53" s="10">
        <f>+B53/$B$87*100</f>
        <v>0.25021089821735865</v>
      </c>
      <c r="G53" s="10">
        <f>+C53/$C$87*100</f>
        <v>0.21011505439340472</v>
      </c>
    </row>
    <row r="54" spans="1:7">
      <c r="A54" t="s">
        <v>38</v>
      </c>
      <c r="B54" s="12">
        <v>106305514</v>
      </c>
      <c r="C54" s="12">
        <v>55607750</v>
      </c>
      <c r="D54" s="11">
        <f>+B54-C54</f>
        <v>50697764</v>
      </c>
      <c r="E54" s="10">
        <f>+D54/C54*100</f>
        <v>91.170320683717648</v>
      </c>
      <c r="F54" s="10">
        <f>+B54/$B$87*100</f>
        <v>0.64725358729494753</v>
      </c>
      <c r="G54" s="10">
        <f>+C54/$C$87*100</f>
        <v>0.31787333667288736</v>
      </c>
    </row>
    <row r="55" spans="1:7">
      <c r="A55" t="s">
        <v>39</v>
      </c>
      <c r="B55" s="13">
        <f>SUM(B52:B54)</f>
        <v>159400378</v>
      </c>
      <c r="C55" s="13">
        <f>SUM(C52:C54)</f>
        <v>104364609</v>
      </c>
      <c r="D55" s="13">
        <f>+B55-C55</f>
        <v>55035769</v>
      </c>
      <c r="E55" s="10">
        <f>+D55/C55*100</f>
        <v>52.734130398553013</v>
      </c>
      <c r="F55" s="10">
        <f>+B55/$B$87*100</f>
        <v>0.97052789262343087</v>
      </c>
      <c r="G55" s="10">
        <f>+C55/$C$87*100</f>
        <v>0.59658458566281236</v>
      </c>
    </row>
    <row r="56" spans="1:7">
      <c r="A56" s="9" t="s">
        <v>40</v>
      </c>
      <c r="B56" s="11"/>
      <c r="C56" s="11"/>
      <c r="D56" s="11"/>
      <c r="E56" s="10"/>
      <c r="F56" s="10"/>
      <c r="G56" s="10"/>
    </row>
    <row r="57" spans="1:7">
      <c r="A57" t="s">
        <v>41</v>
      </c>
      <c r="B57" s="11"/>
      <c r="C57" s="11"/>
      <c r="D57" s="11"/>
      <c r="E57" s="10"/>
      <c r="F57" s="10"/>
      <c r="G57" s="10"/>
    </row>
    <row r="58" spans="1:7">
      <c r="A58" t="s">
        <v>42</v>
      </c>
      <c r="B58" s="11">
        <v>127077984.63</v>
      </c>
      <c r="C58" s="11">
        <v>66077984.630000003</v>
      </c>
      <c r="D58" s="11">
        <f>+B58-C58</f>
        <v>60999999.999999993</v>
      </c>
      <c r="E58" s="10">
        <f>+D58/C58*100</f>
        <v>92.315164182996952</v>
      </c>
      <c r="F58" s="10">
        <f>+B58/$B$87*100</f>
        <v>0.77372921049024512</v>
      </c>
      <c r="G58" s="10">
        <f>+C58/$C$87*100</f>
        <v>0.37772485768544617</v>
      </c>
    </row>
    <row r="59" spans="1:7">
      <c r="A59" t="s">
        <v>30</v>
      </c>
      <c r="B59" s="12">
        <v>189043813.63999999</v>
      </c>
      <c r="C59" s="12">
        <v>167801258.63999999</v>
      </c>
      <c r="D59" s="11">
        <f>+B59-C59</f>
        <v>21242555</v>
      </c>
      <c r="E59" s="10">
        <f>+D59/C59*100</f>
        <v>12.659353792794651</v>
      </c>
      <c r="F59" s="10">
        <f>+B59/$B$87*100</f>
        <v>1.1510154264849095</v>
      </c>
      <c r="G59" s="10">
        <f>+C59/$C$87*100</f>
        <v>0.95921064926753863</v>
      </c>
    </row>
    <row r="60" spans="1:7">
      <c r="A60" t="s">
        <v>43</v>
      </c>
      <c r="B60" s="13">
        <f>SUM(B58:B59)</f>
        <v>316121798.26999998</v>
      </c>
      <c r="C60" s="13">
        <f>SUM(C58:C59)</f>
        <v>233879243.26999998</v>
      </c>
      <c r="D60" s="13">
        <f>+B60-C60</f>
        <v>82242555</v>
      </c>
      <c r="E60" s="10">
        <f>+D60/C60*100</f>
        <v>35.16453784017753</v>
      </c>
      <c r="F60" s="10">
        <f>+B60/$B$87*100</f>
        <v>1.9247446369751546</v>
      </c>
      <c r="G60" s="10">
        <f>+C60/$C$87*100</f>
        <v>1.3369355069529847</v>
      </c>
    </row>
    <row r="62" spans="1:7">
      <c r="A62" s="2" t="s">
        <v>148</v>
      </c>
      <c r="B62" s="89" t="s">
        <v>366</v>
      </c>
      <c r="C62" s="89" t="s">
        <v>366</v>
      </c>
      <c r="D62" s="89" t="s">
        <v>110</v>
      </c>
      <c r="E62" s="83" t="s">
        <v>111</v>
      </c>
      <c r="F62" s="83" t="s">
        <v>113</v>
      </c>
      <c r="G62" s="84" t="s">
        <v>113</v>
      </c>
    </row>
    <row r="63" spans="1:7">
      <c r="A63" s="5"/>
      <c r="B63" s="6">
        <v>2000</v>
      </c>
      <c r="C63" s="6">
        <v>1999</v>
      </c>
      <c r="D63" s="6"/>
      <c r="E63" s="6" t="s">
        <v>112</v>
      </c>
      <c r="F63" s="7">
        <v>36831</v>
      </c>
      <c r="G63" s="7">
        <v>36465</v>
      </c>
    </row>
    <row r="64" spans="1:7">
      <c r="A64" t="s">
        <v>44</v>
      </c>
      <c r="B64" s="11"/>
      <c r="C64" s="11"/>
      <c r="D64" s="11"/>
      <c r="E64" s="10"/>
      <c r="F64" s="10"/>
      <c r="G64" s="10"/>
    </row>
    <row r="65" spans="1:7">
      <c r="A65" t="s">
        <v>45</v>
      </c>
      <c r="B65" s="11">
        <v>1114586567.48</v>
      </c>
      <c r="C65" s="11">
        <v>1114586567.48</v>
      </c>
      <c r="D65" s="11">
        <f t="shared" si="0"/>
        <v>0</v>
      </c>
      <c r="E65" s="10">
        <f t="shared" ref="E65:E71" si="5">+D65/C65*100</f>
        <v>0</v>
      </c>
      <c r="F65" s="10">
        <f t="shared" si="1"/>
        <v>6.7862910116985278</v>
      </c>
      <c r="G65" s="10">
        <f t="shared" si="2"/>
        <v>6.3713664231271352</v>
      </c>
    </row>
    <row r="66" spans="1:7">
      <c r="A66" t="s">
        <v>46</v>
      </c>
      <c r="B66" s="11">
        <v>528264679.24000001</v>
      </c>
      <c r="C66" s="11">
        <v>504511698.24000001</v>
      </c>
      <c r="D66" s="11">
        <f t="shared" si="0"/>
        <v>23752981</v>
      </c>
      <c r="E66" s="10">
        <f t="shared" si="5"/>
        <v>4.7081130294625062</v>
      </c>
      <c r="F66" s="10">
        <f t="shared" si="1"/>
        <v>3.2164014434783206</v>
      </c>
      <c r="G66" s="10">
        <f t="shared" si="2"/>
        <v>2.8839652190576617</v>
      </c>
    </row>
    <row r="67" spans="1:7">
      <c r="A67" t="s">
        <v>47</v>
      </c>
      <c r="B67" s="11">
        <v>48880525.329999998</v>
      </c>
      <c r="C67" s="11">
        <v>48598775.329999998</v>
      </c>
      <c r="D67" s="11">
        <f t="shared" si="0"/>
        <v>281750</v>
      </c>
      <c r="E67" s="10">
        <f t="shared" si="5"/>
        <v>0.57974711931902501</v>
      </c>
      <c r="F67" s="10">
        <f t="shared" si="1"/>
        <v>0.29761481016595287</v>
      </c>
      <c r="G67" s="10">
        <f t="shared" si="2"/>
        <v>0.27780758747410395</v>
      </c>
    </row>
    <row r="68" spans="1:7">
      <c r="A68" t="s">
        <v>48</v>
      </c>
      <c r="B68" s="11">
        <v>128467477</v>
      </c>
      <c r="C68" s="11">
        <v>115584869</v>
      </c>
      <c r="D68" s="11">
        <f t="shared" si="0"/>
        <v>12882608</v>
      </c>
      <c r="E68" s="10">
        <f t="shared" si="5"/>
        <v>11.145583424072575</v>
      </c>
      <c r="F68" s="10">
        <f t="shared" si="1"/>
        <v>0.78218929771583767</v>
      </c>
      <c r="G68" s="10">
        <f t="shared" si="2"/>
        <v>0.66072351386144168</v>
      </c>
    </row>
    <row r="69" spans="1:7">
      <c r="A69" t="s">
        <v>49</v>
      </c>
      <c r="B69" s="11">
        <v>105472849</v>
      </c>
      <c r="C69" s="11">
        <v>120178947</v>
      </c>
      <c r="D69" s="11">
        <f t="shared" si="0"/>
        <v>-14706098</v>
      </c>
      <c r="E69" s="10">
        <f t="shared" si="5"/>
        <v>-12.236833794191924</v>
      </c>
      <c r="F69" s="10">
        <f t="shared" si="1"/>
        <v>0.64218380880476555</v>
      </c>
      <c r="G69" s="10">
        <f t="shared" si="2"/>
        <v>0.68698486956807447</v>
      </c>
    </row>
    <row r="70" spans="1:7">
      <c r="A70" t="s">
        <v>30</v>
      </c>
      <c r="B70" s="12">
        <v>3515790692.96</v>
      </c>
      <c r="C70" s="12">
        <v>3124772730.2399998</v>
      </c>
      <c r="D70" s="12">
        <f t="shared" si="0"/>
        <v>391017962.72000027</v>
      </c>
      <c r="E70" s="10">
        <f t="shared" si="5"/>
        <v>12.513484866784792</v>
      </c>
      <c r="F70" s="10">
        <f t="shared" si="1"/>
        <v>21.40630389310332</v>
      </c>
      <c r="G70" s="10">
        <f t="shared" si="2"/>
        <v>17.862293189453574</v>
      </c>
    </row>
    <row r="71" spans="1:7">
      <c r="A71" t="s">
        <v>50</v>
      </c>
      <c r="B71" s="11">
        <f>SUM(B65:B70)</f>
        <v>5441462791.0100002</v>
      </c>
      <c r="C71" s="11">
        <f>SUM(C65:C70)</f>
        <v>5028233587.29</v>
      </c>
      <c r="D71" s="14">
        <f t="shared" si="0"/>
        <v>413229203.72000027</v>
      </c>
      <c r="E71" s="10">
        <f t="shared" si="5"/>
        <v>8.2181783432760707</v>
      </c>
      <c r="F71" s="10">
        <f t="shared" si="1"/>
        <v>33.130984264966727</v>
      </c>
      <c r="G71" s="10">
        <f t="shared" si="2"/>
        <v>28.743140802541987</v>
      </c>
    </row>
    <row r="72" spans="1:7">
      <c r="B72" s="11"/>
      <c r="C72" s="11"/>
      <c r="D72" s="11"/>
      <c r="E72" s="10"/>
      <c r="F72" s="10"/>
      <c r="G72" s="10"/>
    </row>
    <row r="73" spans="1:7">
      <c r="A73" t="s">
        <v>51</v>
      </c>
      <c r="B73" s="11">
        <v>-1735056546.21</v>
      </c>
      <c r="C73" s="11">
        <v>-1413533122.71</v>
      </c>
      <c r="D73" s="11">
        <f t="shared" si="0"/>
        <v>-321523423.5</v>
      </c>
      <c r="E73" s="10">
        <f>+D73/C73*100</f>
        <v>22.746083436911697</v>
      </c>
      <c r="F73" s="10">
        <f t="shared" si="1"/>
        <v>-10.564095233046936</v>
      </c>
      <c r="G73" s="10">
        <f t="shared" si="2"/>
        <v>-8.0802494295035086</v>
      </c>
    </row>
    <row r="74" spans="1:7">
      <c r="A74" t="s">
        <v>30</v>
      </c>
      <c r="B74" s="12">
        <v>-1009648124.4400001</v>
      </c>
      <c r="C74" s="12">
        <v>-847231744.72000003</v>
      </c>
      <c r="D74" s="11">
        <f t="shared" si="0"/>
        <v>-162416379.72000003</v>
      </c>
      <c r="E74" s="10">
        <f>+D74/C74*100</f>
        <v>19.170242466974216</v>
      </c>
      <c r="F74" s="10">
        <f t="shared" si="1"/>
        <v>-6.1473609962452711</v>
      </c>
      <c r="G74" s="10">
        <f t="shared" si="2"/>
        <v>-4.843072802430207</v>
      </c>
    </row>
    <row r="75" spans="1:7">
      <c r="A75" t="s">
        <v>52</v>
      </c>
      <c r="B75" s="12">
        <f>+B60+B71+B73+B74</f>
        <v>3012879918.6300006</v>
      </c>
      <c r="C75" s="12">
        <f>+C60+C71+C73+C74</f>
        <v>3001347963.1299992</v>
      </c>
      <c r="D75" s="13">
        <f t="shared" si="0"/>
        <v>11531955.500001431</v>
      </c>
      <c r="E75" s="10">
        <f>+D75/C75*100</f>
        <v>0.38422587589528157</v>
      </c>
      <c r="F75" s="10">
        <f t="shared" si="1"/>
        <v>18.344272672649677</v>
      </c>
      <c r="G75" s="10">
        <f t="shared" si="2"/>
        <v>17.156754077561256</v>
      </c>
    </row>
    <row r="76" spans="1:7">
      <c r="B76" s="11"/>
      <c r="C76" s="11"/>
      <c r="D76" s="11"/>
      <c r="E76" s="10"/>
      <c r="F76" s="10"/>
      <c r="G76" s="10"/>
    </row>
    <row r="77" spans="1:7">
      <c r="A77" s="9" t="s">
        <v>53</v>
      </c>
      <c r="B77" s="11"/>
      <c r="C77" s="11"/>
      <c r="D77" s="11"/>
      <c r="E77" s="10"/>
      <c r="F77" s="10"/>
      <c r="G77" s="10"/>
    </row>
    <row r="78" spans="1:7">
      <c r="A78" t="s">
        <v>32</v>
      </c>
      <c r="B78" s="11"/>
      <c r="C78" s="11"/>
      <c r="D78" s="11"/>
      <c r="E78" s="10"/>
      <c r="F78" s="10"/>
      <c r="G78" s="10"/>
    </row>
    <row r="79" spans="1:7">
      <c r="A79" t="s">
        <v>54</v>
      </c>
      <c r="B79" s="12">
        <v>132629897</v>
      </c>
      <c r="C79" s="12">
        <v>116287341</v>
      </c>
      <c r="D79" s="11">
        <f>+B79-C79</f>
        <v>16342556</v>
      </c>
      <c r="E79" s="10">
        <f>+D79/C79*100</f>
        <v>14.053598490999979</v>
      </c>
      <c r="F79" s="10">
        <f>+B79/$B$87*100</f>
        <v>0.80753267996812839</v>
      </c>
      <c r="G79" s="10">
        <f>+C79/$C$87*100</f>
        <v>0.66473908936232562</v>
      </c>
    </row>
    <row r="80" spans="1:7">
      <c r="A80" t="s">
        <v>34</v>
      </c>
      <c r="B80" s="13">
        <f>SUM(B78:B79)</f>
        <v>132629897</v>
      </c>
      <c r="C80" s="13">
        <f>SUM(C78:C79)</f>
        <v>116287341</v>
      </c>
      <c r="D80" s="13">
        <f>+B80-C80</f>
        <v>16342556</v>
      </c>
      <c r="E80" s="10">
        <f>+D80/C80*100</f>
        <v>14.053598490999979</v>
      </c>
      <c r="F80" s="10">
        <f>+B80/$B$87*100</f>
        <v>0.80753267996812839</v>
      </c>
      <c r="G80" s="10">
        <f>+C80/$C$87*100</f>
        <v>0.66473908936232562</v>
      </c>
    </row>
    <row r="81" spans="1:7">
      <c r="B81" s="11"/>
      <c r="C81" s="11"/>
      <c r="D81" s="11"/>
      <c r="E81" s="10"/>
      <c r="F81" s="10"/>
      <c r="G81" s="10"/>
    </row>
    <row r="82" spans="1:7">
      <c r="A82" t="s">
        <v>55</v>
      </c>
      <c r="B82" s="11"/>
      <c r="C82" s="11"/>
      <c r="D82" s="11"/>
      <c r="E82" s="10"/>
      <c r="F82" s="10"/>
      <c r="G82" s="10"/>
    </row>
    <row r="83" spans="1:7">
      <c r="A83" t="s">
        <v>56</v>
      </c>
      <c r="B83" s="11">
        <v>12961900</v>
      </c>
      <c r="C83" s="11">
        <v>18488982</v>
      </c>
      <c r="D83" s="11">
        <f>+B83-C83</f>
        <v>-5527082</v>
      </c>
      <c r="E83" s="10">
        <f>+D83/C83*100</f>
        <v>-29.893922769787974</v>
      </c>
      <c r="F83" s="10">
        <f>+B83/$B$87*100</f>
        <v>7.8920048052807321E-2</v>
      </c>
      <c r="G83" s="10">
        <f>+C83/$C$87*100</f>
        <v>0.10568948393029666</v>
      </c>
    </row>
    <row r="84" spans="1:7">
      <c r="A84" t="s">
        <v>57</v>
      </c>
      <c r="B84" s="12">
        <v>4576400795</v>
      </c>
      <c r="C84" s="12">
        <v>6441219317</v>
      </c>
      <c r="D84" s="11">
        <f>+B84-C84</f>
        <v>-1864818522</v>
      </c>
      <c r="E84" s="10">
        <f>+D84/C84*100</f>
        <v>-28.951327849965836</v>
      </c>
      <c r="F84" s="10">
        <f>+B84/$B$87*100</f>
        <v>27.863952865729992</v>
      </c>
      <c r="G84" s="10">
        <f>+C84/$C$87*100</f>
        <v>36.820261142316433</v>
      </c>
    </row>
    <row r="85" spans="1:7">
      <c r="A85" t="s">
        <v>58</v>
      </c>
      <c r="B85" s="11">
        <f>SUM(B83:B84)</f>
        <v>4589362695</v>
      </c>
      <c r="C85" s="11">
        <f>SUM(C83:C84)</f>
        <v>6459708299</v>
      </c>
      <c r="D85" s="13">
        <f>+B85-C85</f>
        <v>-1870345604</v>
      </c>
      <c r="E85" s="10">
        <f>+D85/C85*100</f>
        <v>-28.954025745861315</v>
      </c>
      <c r="F85" s="10">
        <f>+B85/$B$87*100</f>
        <v>27.9428729137828</v>
      </c>
      <c r="G85" s="10">
        <f>+C85/$C$87*100</f>
        <v>36.925950626246731</v>
      </c>
    </row>
    <row r="86" spans="1:7">
      <c r="A86" t="s">
        <v>59</v>
      </c>
      <c r="B86" s="13">
        <f>+B80+B85</f>
        <v>4721992592</v>
      </c>
      <c r="C86" s="13">
        <f>+C80+C85</f>
        <v>6575995640</v>
      </c>
      <c r="D86" s="13">
        <f>+B86-C86</f>
        <v>-1854003048</v>
      </c>
      <c r="E86" s="10">
        <f>+D86/C86*100</f>
        <v>-28.1934957000671</v>
      </c>
      <c r="F86" s="10">
        <f>+B86/$B$87*100</f>
        <v>28.750405593750926</v>
      </c>
      <c r="G86" s="10">
        <f>+C86/$C$87*100</f>
        <v>37.590689715609052</v>
      </c>
    </row>
    <row r="87" spans="1:7" ht="13.8" thickBot="1">
      <c r="A87" t="s">
        <v>60</v>
      </c>
      <c r="B87" s="15">
        <f>+B50+B55+B75+B86</f>
        <v>16424090354.490002</v>
      </c>
      <c r="C87" s="15">
        <f>+C50+C55+C75+C86</f>
        <v>17493681785.970001</v>
      </c>
      <c r="D87" s="15">
        <f>+B87-C87</f>
        <v>-1069591431.4799995</v>
      </c>
      <c r="E87" s="10">
        <f>+D87/C87*100</f>
        <v>-6.1141584977143912</v>
      </c>
      <c r="F87" s="10">
        <f>+B87/$B$87*100</f>
        <v>100</v>
      </c>
      <c r="G87" s="10">
        <f>+C87/$C$87*100</f>
        <v>100</v>
      </c>
    </row>
    <row r="88" spans="1:7" ht="13.8" thickTop="1">
      <c r="B88" s="11"/>
      <c r="C88" s="11"/>
      <c r="D88" s="11"/>
      <c r="E88" s="10"/>
      <c r="F88" s="10"/>
      <c r="G88" s="10"/>
    </row>
    <row r="89" spans="1:7">
      <c r="A89" t="s">
        <v>61</v>
      </c>
      <c r="B89" s="11">
        <v>1184311149</v>
      </c>
      <c r="C89" s="11">
        <v>739173233.44000006</v>
      </c>
      <c r="D89" s="11">
        <f>+B89-C89</f>
        <v>445137915.55999994</v>
      </c>
      <c r="E89" s="10">
        <f>+D89/C89*100</f>
        <v>60.221054473035451</v>
      </c>
      <c r="F89" s="10">
        <f>+B89/$B$87*100</f>
        <v>7.2108173021359097</v>
      </c>
      <c r="G89" s="10">
        <f>+C89/$C$87*100</f>
        <v>4.2253725801324444</v>
      </c>
    </row>
    <row r="90" spans="1:7">
      <c r="A90" t="s">
        <v>62</v>
      </c>
      <c r="B90" s="11">
        <v>71322371</v>
      </c>
      <c r="C90" s="11">
        <v>3700017</v>
      </c>
      <c r="D90" s="11">
        <f>+B90-C90</f>
        <v>67622354</v>
      </c>
      <c r="E90" s="10">
        <f>+D90/C90*100</f>
        <v>1827.6227920033882</v>
      </c>
      <c r="F90" s="10">
        <f>+B90/$B$87*100</f>
        <v>0.43425461904197304</v>
      </c>
      <c r="G90" s="10">
        <f>+C90/$C$87*100</f>
        <v>2.1150590511869419E-2</v>
      </c>
    </row>
    <row r="91" spans="1:7">
      <c r="A91" t="s">
        <v>63</v>
      </c>
      <c r="B91" s="11"/>
      <c r="C91" s="11"/>
      <c r="D91" s="11"/>
      <c r="E91" s="10"/>
      <c r="F91" s="10"/>
      <c r="G91" s="10"/>
    </row>
    <row r="92" spans="1:7">
      <c r="B92" s="11"/>
      <c r="C92" s="11"/>
      <c r="D92" s="11"/>
      <c r="E92" s="10"/>
      <c r="F92" s="10"/>
      <c r="G92" s="10"/>
    </row>
    <row r="93" spans="1:7">
      <c r="A93" s="9" t="s">
        <v>64</v>
      </c>
      <c r="B93" s="11"/>
      <c r="C93" s="11"/>
      <c r="D93" s="11"/>
      <c r="E93" s="10"/>
      <c r="F93" s="10"/>
      <c r="G93" s="10"/>
    </row>
    <row r="94" spans="1:7">
      <c r="B94" s="11"/>
      <c r="C94" s="11"/>
      <c r="D94" s="11"/>
      <c r="E94" s="10"/>
      <c r="F94" s="10"/>
      <c r="G94" s="10"/>
    </row>
    <row r="95" spans="1:7">
      <c r="A95" t="s">
        <v>65</v>
      </c>
      <c r="B95" s="11">
        <v>-1975000000</v>
      </c>
      <c r="C95" s="11">
        <v>0</v>
      </c>
      <c r="D95" s="11">
        <f>+B95-C95</f>
        <v>-1975000000</v>
      </c>
      <c r="E95" s="10"/>
      <c r="F95" s="10">
        <f>+B95/$B$87*100</f>
        <v>-12.025019087039279</v>
      </c>
      <c r="G95" s="10">
        <f>+C95/$C$87*100</f>
        <v>0</v>
      </c>
    </row>
    <row r="96" spans="1:7">
      <c r="A96" t="s">
        <v>66</v>
      </c>
      <c r="B96" s="11">
        <v>-9700656</v>
      </c>
      <c r="C96" s="11">
        <v>-20304862</v>
      </c>
      <c r="D96" s="11">
        <f>+B96-C96</f>
        <v>10604206</v>
      </c>
      <c r="E96" s="10">
        <f>+D96/C96*100</f>
        <v>-52.224959716544738</v>
      </c>
      <c r="F96" s="10">
        <f>+B96/$B$87*100</f>
        <v>-5.90635815477479E-2</v>
      </c>
      <c r="G96" s="10">
        <f>+C96/$C$87*100</f>
        <v>-0.11606968875062409</v>
      </c>
    </row>
    <row r="97" spans="1:7">
      <c r="B97" s="11"/>
      <c r="C97" s="11"/>
      <c r="D97" s="11"/>
      <c r="E97" s="10"/>
      <c r="F97" s="10"/>
      <c r="G97" s="10"/>
    </row>
    <row r="98" spans="1:7">
      <c r="A98" s="9" t="s">
        <v>67</v>
      </c>
      <c r="B98" s="11"/>
      <c r="C98" s="11"/>
      <c r="D98" s="11"/>
      <c r="E98" s="10"/>
      <c r="F98" s="10"/>
      <c r="G98" s="10"/>
    </row>
    <row r="99" spans="1:7">
      <c r="A99" t="s">
        <v>68</v>
      </c>
      <c r="B99" s="11">
        <v>-745652113</v>
      </c>
      <c r="C99" s="11">
        <v>-523204538</v>
      </c>
      <c r="D99" s="11">
        <f t="shared" ref="D99:D106" si="6">+B99-C99</f>
        <v>-222447575</v>
      </c>
      <c r="E99" s="10">
        <f t="shared" ref="E99:E106" si="7">+D99/C99*100</f>
        <v>42.516369573231799</v>
      </c>
      <c r="F99" s="10">
        <f t="shared" ref="F99:F106" si="8">+B99/$B$87*100</f>
        <v>-4.5399903246157818</v>
      </c>
      <c r="G99" s="10">
        <f t="shared" ref="G99:G106" si="9">+C99/$C$87*100</f>
        <v>-2.9908200252025394</v>
      </c>
    </row>
    <row r="100" spans="1:7">
      <c r="A100" t="s">
        <v>69</v>
      </c>
      <c r="B100" s="11">
        <v>0</v>
      </c>
      <c r="C100" s="11">
        <v>0</v>
      </c>
      <c r="D100" s="11">
        <f t="shared" si="6"/>
        <v>0</v>
      </c>
      <c r="E100" s="10"/>
      <c r="F100" s="10">
        <f t="shared" si="8"/>
        <v>0</v>
      </c>
      <c r="G100" s="10">
        <f t="shared" si="9"/>
        <v>0</v>
      </c>
    </row>
    <row r="101" spans="1:7">
      <c r="A101" t="s">
        <v>70</v>
      </c>
      <c r="B101" s="11">
        <v>-5909292</v>
      </c>
      <c r="C101" s="11">
        <v>-6140654</v>
      </c>
      <c r="D101" s="11">
        <f t="shared" si="6"/>
        <v>231362</v>
      </c>
      <c r="E101" s="10">
        <f t="shared" si="7"/>
        <v>-3.7677094329040526</v>
      </c>
      <c r="F101" s="10">
        <f t="shared" si="8"/>
        <v>-3.5979417261209373E-2</v>
      </c>
      <c r="G101" s="10">
        <f t="shared" si="9"/>
        <v>-3.5102124727825035E-2</v>
      </c>
    </row>
    <row r="102" spans="1:7">
      <c r="A102" t="s">
        <v>71</v>
      </c>
      <c r="B102" s="11">
        <v>-2678675</v>
      </c>
      <c r="C102" s="11">
        <v>-5100692</v>
      </c>
      <c r="D102" s="11">
        <f t="shared" si="6"/>
        <v>2422017</v>
      </c>
      <c r="E102" s="10">
        <f t="shared" si="7"/>
        <v>-47.484086472972685</v>
      </c>
      <c r="F102" s="10">
        <f t="shared" si="8"/>
        <v>-1.6309426836949338E-2</v>
      </c>
      <c r="G102" s="10">
        <f t="shared" si="9"/>
        <v>-2.9157338417409504E-2</v>
      </c>
    </row>
    <row r="103" spans="1:7">
      <c r="A103" t="s">
        <v>72</v>
      </c>
      <c r="B103" s="11">
        <v>-23433702</v>
      </c>
      <c r="C103" s="11">
        <v>-27472117</v>
      </c>
      <c r="D103" s="11">
        <f t="shared" si="6"/>
        <v>4038415</v>
      </c>
      <c r="E103" s="10">
        <f t="shared" si="7"/>
        <v>-14.700050236390592</v>
      </c>
      <c r="F103" s="10">
        <f t="shared" si="8"/>
        <v>-0.14267884244556484</v>
      </c>
      <c r="G103" s="10">
        <f t="shared" si="9"/>
        <v>-0.15704022364253098</v>
      </c>
    </row>
    <row r="104" spans="1:7">
      <c r="A104" t="s">
        <v>73</v>
      </c>
      <c r="B104" s="14">
        <v>-36014326</v>
      </c>
      <c r="C104" s="14">
        <v>-86923265</v>
      </c>
      <c r="D104" s="11">
        <f t="shared" si="6"/>
        <v>50908939</v>
      </c>
      <c r="E104" s="10">
        <f>+D104/C104*100</f>
        <v>-58.567679205331281</v>
      </c>
      <c r="F104" s="10">
        <f t="shared" si="8"/>
        <v>-0.2192774468642304</v>
      </c>
      <c r="G104" s="10">
        <f t="shared" si="9"/>
        <v>-0.49688376674207474</v>
      </c>
    </row>
    <row r="105" spans="1:7">
      <c r="A105" t="s">
        <v>356</v>
      </c>
      <c r="B105" s="12">
        <v>-36226078.979999997</v>
      </c>
      <c r="C105" s="12">
        <v>0</v>
      </c>
      <c r="D105" s="11">
        <f t="shared" si="6"/>
        <v>-36226078.979999997</v>
      </c>
      <c r="E105" s="10"/>
      <c r="F105" s="10">
        <f t="shared" si="8"/>
        <v>-0.22056672971295818</v>
      </c>
      <c r="G105" s="10">
        <f t="shared" si="9"/>
        <v>0</v>
      </c>
    </row>
    <row r="106" spans="1:7">
      <c r="A106" t="s">
        <v>74</v>
      </c>
      <c r="B106" s="13">
        <f>SUM(B99:B105)</f>
        <v>-849914186.98000002</v>
      </c>
      <c r="C106" s="13">
        <f>SUM(C99:C105)</f>
        <v>-648841266</v>
      </c>
      <c r="D106" s="13">
        <f t="shared" si="6"/>
        <v>-201072920.98000002</v>
      </c>
      <c r="E106" s="10">
        <f t="shared" si="7"/>
        <v>30.989539586404792</v>
      </c>
      <c r="F106" s="10">
        <f t="shared" si="8"/>
        <v>-5.1748021877366943</v>
      </c>
      <c r="G106" s="10">
        <f t="shared" si="9"/>
        <v>-3.7090034787323796</v>
      </c>
    </row>
    <row r="108" spans="1:7">
      <c r="A108" s="9" t="s">
        <v>75</v>
      </c>
      <c r="B108" s="11"/>
      <c r="C108" s="11"/>
      <c r="D108" s="11"/>
      <c r="E108" s="10"/>
      <c r="F108" s="10"/>
      <c r="G108" s="10"/>
    </row>
    <row r="109" spans="1:7">
      <c r="A109" t="s">
        <v>76</v>
      </c>
      <c r="B109" s="11">
        <v>-118785000</v>
      </c>
      <c r="C109" s="11">
        <v>0</v>
      </c>
      <c r="D109" s="11">
        <f>+B109-C109</f>
        <v>-118785000</v>
      </c>
      <c r="E109" s="10"/>
      <c r="F109" s="10">
        <f>+B109/$B$87*100</f>
        <v>-0.72323640114124599</v>
      </c>
      <c r="G109" s="10">
        <f>+C109/$C$87*100</f>
        <v>0</v>
      </c>
    </row>
    <row r="110" spans="1:7">
      <c r="A110" t="s">
        <v>77</v>
      </c>
      <c r="B110" s="11">
        <v>1086444.82</v>
      </c>
      <c r="C110" s="11">
        <v>15797347.82</v>
      </c>
      <c r="D110" s="11">
        <f>+B110-C110</f>
        <v>-14710903</v>
      </c>
      <c r="E110" s="10">
        <f>+D110/C110*100</f>
        <v>-93.122612527246361</v>
      </c>
      <c r="F110" s="10">
        <f>+B110/$B$87*100</f>
        <v>6.6149466822860541E-3</v>
      </c>
      <c r="G110" s="10">
        <f>+C110/$C$87*100</f>
        <v>9.0303162097469566E-2</v>
      </c>
    </row>
    <row r="111" spans="1:7">
      <c r="A111" t="s">
        <v>78</v>
      </c>
      <c r="B111" s="12"/>
      <c r="C111" s="12"/>
      <c r="D111" s="11">
        <f>+B111-C111</f>
        <v>0</v>
      </c>
      <c r="E111" s="10"/>
      <c r="F111" s="10">
        <f>+B111/$B$87*100</f>
        <v>0</v>
      </c>
      <c r="G111" s="10">
        <f>+C111/$C$87*100</f>
        <v>0</v>
      </c>
    </row>
    <row r="112" spans="1:7">
      <c r="A112" t="s">
        <v>79</v>
      </c>
      <c r="B112" s="13">
        <f>SUM(B109:B111)</f>
        <v>-117698555.18000001</v>
      </c>
      <c r="C112" s="13">
        <f>SUM(C109:C111)</f>
        <v>15797347.82</v>
      </c>
      <c r="D112" s="13">
        <f>+B112-C112</f>
        <v>-133495903</v>
      </c>
      <c r="E112" s="10">
        <f>+D112/C112*100</f>
        <v>-845.05262858737262</v>
      </c>
      <c r="F112" s="10">
        <f>+B112/$B$87*100</f>
        <v>-0.71662145445895997</v>
      </c>
      <c r="G112" s="10">
        <f>+C112/$C$87*100</f>
        <v>9.0303162097469566E-2</v>
      </c>
    </row>
    <row r="113" spans="1:7">
      <c r="B113" s="11"/>
      <c r="C113" s="11"/>
      <c r="D113" s="11"/>
      <c r="E113" s="10"/>
      <c r="F113" s="10"/>
      <c r="G113" s="10"/>
    </row>
    <row r="114" spans="1:7">
      <c r="A114" s="9" t="s">
        <v>80</v>
      </c>
      <c r="B114" s="11"/>
      <c r="C114" s="11"/>
      <c r="D114" s="11"/>
      <c r="E114" s="10"/>
      <c r="F114" s="10"/>
      <c r="G114" s="10"/>
    </row>
    <row r="115" spans="1:7">
      <c r="A115" t="s">
        <v>81</v>
      </c>
      <c r="B115" s="11">
        <v>0</v>
      </c>
      <c r="C115" s="11">
        <v>0</v>
      </c>
      <c r="D115" s="11">
        <f>+B115-C115</f>
        <v>0</v>
      </c>
      <c r="E115" s="10"/>
      <c r="F115" s="10">
        <f>+B115/$B$87*100</f>
        <v>0</v>
      </c>
      <c r="G115" s="10">
        <f>+C115/$C$87*100</f>
        <v>0</v>
      </c>
    </row>
    <row r="116" spans="1:7">
      <c r="A116" t="s">
        <v>82</v>
      </c>
      <c r="B116" s="11">
        <v>-172269356</v>
      </c>
      <c r="C116" s="11">
        <v>-229101497</v>
      </c>
      <c r="D116" s="11">
        <f>+B116-C116</f>
        <v>56832141</v>
      </c>
      <c r="E116" s="10">
        <f>+D116/C116*100</f>
        <v>-24.806534110076111</v>
      </c>
      <c r="F116" s="10">
        <f>+B116/$B$87*100</f>
        <v>-1.0488821741832732</v>
      </c>
      <c r="G116" s="10">
        <f>+C116/$C$87*100</f>
        <v>-1.3096242392138417</v>
      </c>
    </row>
    <row r="121" spans="1:7">
      <c r="A121" t="s">
        <v>83</v>
      </c>
      <c r="B121" s="11">
        <v>-18516136</v>
      </c>
      <c r="C121" s="11">
        <v>-27205901</v>
      </c>
      <c r="D121" s="11">
        <f>+B121-C121</f>
        <v>8689765</v>
      </c>
      <c r="E121" s="10">
        <f>+D121/C121*100</f>
        <v>-31.940735945484768</v>
      </c>
      <c r="F121" s="10">
        <f>+B121/$B$87*100</f>
        <v>-0.11273766522441273</v>
      </c>
      <c r="G121" s="10">
        <f>+C121/$C$87*100</f>
        <v>-0.15551843993080539</v>
      </c>
    </row>
    <row r="122" spans="1:7">
      <c r="A122" t="s">
        <v>84</v>
      </c>
      <c r="B122" s="11">
        <v>-46024763</v>
      </c>
      <c r="C122" s="11">
        <v>-44782843</v>
      </c>
      <c r="D122" s="11">
        <f>+B122-C122</f>
        <v>-1241920</v>
      </c>
      <c r="E122" s="10">
        <f>+D122/C122*100</f>
        <v>2.7732049079599523</v>
      </c>
      <c r="F122" s="10">
        <f>+B122/$B$87*100</f>
        <v>-0.2802271663551692</v>
      </c>
      <c r="G122" s="10">
        <f>+C122/$C$87*100</f>
        <v>-0.25599438441778455</v>
      </c>
    </row>
    <row r="123" spans="1:7">
      <c r="A123" t="s">
        <v>85</v>
      </c>
      <c r="B123" s="12">
        <v>-37251057</v>
      </c>
      <c r="C123" s="12">
        <v>-43659572</v>
      </c>
      <c r="D123" s="11">
        <f>+B123-C123</f>
        <v>6408515</v>
      </c>
      <c r="E123" s="10">
        <f>+D123/C123*100</f>
        <v>-14.678373393124422</v>
      </c>
      <c r="F123" s="10">
        <f>+B123/$B$87*100</f>
        <v>-0.22680742857589276</v>
      </c>
      <c r="G123" s="10">
        <f>+C123/$C$87*100</f>
        <v>-0.24957337474273222</v>
      </c>
    </row>
    <row r="124" spans="1:7">
      <c r="A124" s="2" t="s">
        <v>148</v>
      </c>
      <c r="B124" s="89" t="s">
        <v>366</v>
      </c>
      <c r="C124" s="89" t="s">
        <v>366</v>
      </c>
      <c r="D124" s="89" t="s">
        <v>110</v>
      </c>
      <c r="E124" s="83" t="s">
        <v>111</v>
      </c>
      <c r="F124" s="83" t="s">
        <v>113</v>
      </c>
      <c r="G124" s="84" t="s">
        <v>113</v>
      </c>
    </row>
    <row r="125" spans="1:7">
      <c r="A125" s="5"/>
      <c r="B125" s="6">
        <v>2000</v>
      </c>
      <c r="C125" s="6">
        <v>1999</v>
      </c>
      <c r="D125" s="6"/>
      <c r="E125" s="6" t="s">
        <v>112</v>
      </c>
      <c r="F125" s="7">
        <v>36831</v>
      </c>
      <c r="G125" s="7">
        <v>36465</v>
      </c>
    </row>
    <row r="127" spans="1:7">
      <c r="A127" t="s">
        <v>86</v>
      </c>
      <c r="B127" s="13">
        <f>SUM(B115:B123)</f>
        <v>-274061312</v>
      </c>
      <c r="C127" s="13">
        <f>SUM(C116:C123)</f>
        <v>-344749813</v>
      </c>
      <c r="D127" s="13">
        <f>+B127-C127</f>
        <v>70688501</v>
      </c>
      <c r="E127" s="10">
        <f>+D127/C127*100</f>
        <v>-20.504289874698205</v>
      </c>
      <c r="F127" s="10">
        <f>+B127/$B$87*100</f>
        <v>-1.6686544343387479</v>
      </c>
      <c r="G127" s="10">
        <f>+C127/$C$87*100</f>
        <v>-1.9707104383051639</v>
      </c>
    </row>
    <row r="128" spans="1:7">
      <c r="B128" s="11"/>
      <c r="C128" s="11"/>
      <c r="D128" s="11"/>
      <c r="E128" s="10"/>
      <c r="F128" s="10"/>
      <c r="G128" s="10"/>
    </row>
    <row r="129" spans="1:7">
      <c r="A129" s="9" t="s">
        <v>87</v>
      </c>
      <c r="B129" s="11"/>
      <c r="C129" s="11"/>
      <c r="D129" s="11"/>
      <c r="E129" s="10"/>
      <c r="F129" s="10"/>
      <c r="G129" s="10"/>
    </row>
    <row r="130" spans="1:7">
      <c r="A130" t="s">
        <v>88</v>
      </c>
      <c r="B130" s="12">
        <v>-23714340.52</v>
      </c>
      <c r="C130" s="12">
        <v>0</v>
      </c>
      <c r="D130" s="11">
        <f>+B130-C130</f>
        <v>-23714340.52</v>
      </c>
      <c r="E130" s="10"/>
      <c r="F130" s="10">
        <f>+B130/$B$87*100</f>
        <v>-0.14438754298205014</v>
      </c>
      <c r="G130" s="10">
        <f>+C130/$C$87*100</f>
        <v>0</v>
      </c>
    </row>
    <row r="131" spans="1:7">
      <c r="A131" t="s">
        <v>89</v>
      </c>
      <c r="B131" s="11">
        <f>SUM(B130)</f>
        <v>-23714340.52</v>
      </c>
      <c r="C131" s="11">
        <f>SUM(C130)</f>
        <v>0</v>
      </c>
      <c r="D131" s="13">
        <f>+B131-C131</f>
        <v>-23714340.52</v>
      </c>
      <c r="E131" s="10"/>
      <c r="F131" s="10">
        <f>+B131/$B$87*100</f>
        <v>-0.14438754298205014</v>
      </c>
      <c r="G131" s="10">
        <f>+C131/$C$87*100</f>
        <v>0</v>
      </c>
    </row>
    <row r="132" spans="1:7">
      <c r="A132" t="s">
        <v>90</v>
      </c>
      <c r="B132" s="13">
        <f>+B95+B96+B106+B112+B127+B131</f>
        <v>-3250089050.6799998</v>
      </c>
      <c r="C132" s="13">
        <f>+C95+C96+C106+C112+C127+C131</f>
        <v>-998098593.17999995</v>
      </c>
      <c r="D132" s="13">
        <f>+B132-C132</f>
        <v>-2251990457.5</v>
      </c>
      <c r="E132" s="10">
        <f>+D132/C132*100</f>
        <v>225.62805647536561</v>
      </c>
      <c r="F132" s="10">
        <f>+B132/$B$87*100</f>
        <v>-19.788548288103481</v>
      </c>
      <c r="G132" s="10">
        <f>+C132/$C$87*100</f>
        <v>-5.7054804436906981</v>
      </c>
    </row>
    <row r="133" spans="1:7">
      <c r="B133" s="11"/>
      <c r="C133" s="11"/>
      <c r="D133" s="11"/>
      <c r="E133" s="10"/>
      <c r="F133" s="10"/>
      <c r="G133" s="10"/>
    </row>
    <row r="134" spans="1:7">
      <c r="A134" s="9" t="s">
        <v>91</v>
      </c>
      <c r="B134" s="11"/>
      <c r="C134" s="11"/>
      <c r="D134" s="11"/>
      <c r="E134" s="10"/>
      <c r="F134" s="10"/>
      <c r="G134" s="10"/>
    </row>
    <row r="135" spans="1:7">
      <c r="A135" t="s">
        <v>92</v>
      </c>
      <c r="B135" s="11">
        <v>0</v>
      </c>
      <c r="C135" s="11">
        <v>-2591436</v>
      </c>
      <c r="D135" s="11">
        <f>+B135-C135</f>
        <v>2591436</v>
      </c>
      <c r="E135" s="10">
        <f>+D135/C135*100</f>
        <v>-100</v>
      </c>
      <c r="F135" s="10">
        <f>+B135/$B$87*100</f>
        <v>0</v>
      </c>
      <c r="G135" s="10">
        <f>+C135/$C$87*100</f>
        <v>-1.4813554011702335E-2</v>
      </c>
    </row>
    <row r="136" spans="1:7">
      <c r="A136" t="s">
        <v>93</v>
      </c>
      <c r="B136" s="12">
        <v>-149936996</v>
      </c>
      <c r="C136" s="12">
        <v>-160527116</v>
      </c>
      <c r="D136" s="11">
        <f>+B136-C136</f>
        <v>10590120</v>
      </c>
      <c r="E136" s="10">
        <f>+D136/C136*100</f>
        <v>-6.5970910484680987</v>
      </c>
      <c r="F136" s="10">
        <f>+B136/$B$87*100</f>
        <v>-0.91290898164725687</v>
      </c>
      <c r="G136" s="10">
        <f>+C136/$C$87*100</f>
        <v>-0.9176291072628483</v>
      </c>
    </row>
    <row r="137" spans="1:7">
      <c r="A137" t="s">
        <v>94</v>
      </c>
      <c r="B137" s="13">
        <f>SUM(B135:B136)</f>
        <v>-149936996</v>
      </c>
      <c r="C137" s="13">
        <f>SUM(C135:C136)</f>
        <v>-163118552</v>
      </c>
      <c r="D137" s="13">
        <f>+B137-C137</f>
        <v>13181556</v>
      </c>
      <c r="E137" s="10">
        <f>+D137/C137*100</f>
        <v>-8.0809667805290477</v>
      </c>
      <c r="F137" s="10">
        <f>+B137/$B$87*100</f>
        <v>-0.91290898164725687</v>
      </c>
      <c r="G137" s="10">
        <f>+C137/$C$87*100</f>
        <v>-0.93244266127455055</v>
      </c>
    </row>
    <row r="138" spans="1:7">
      <c r="B138" s="11"/>
      <c r="C138" s="11"/>
      <c r="D138" s="11"/>
      <c r="E138" s="10"/>
      <c r="F138" s="10"/>
      <c r="G138" s="10"/>
    </row>
    <row r="139" spans="1:7">
      <c r="A139" s="9" t="s">
        <v>95</v>
      </c>
      <c r="B139" s="11"/>
      <c r="C139" s="11"/>
      <c r="D139" s="11"/>
      <c r="E139" s="10"/>
      <c r="F139" s="10"/>
      <c r="G139" s="10"/>
    </row>
    <row r="140" spans="1:7">
      <c r="B140" s="11"/>
      <c r="C140" s="11"/>
      <c r="D140" s="11"/>
      <c r="E140" s="10"/>
      <c r="F140" s="10"/>
      <c r="G140" s="10"/>
    </row>
    <row r="141" spans="1:7">
      <c r="A141" t="s">
        <v>96</v>
      </c>
      <c r="B141" s="12">
        <v>-100000000</v>
      </c>
      <c r="C141" s="12">
        <v>-200000000</v>
      </c>
      <c r="D141" s="11">
        <f>+B141-C141</f>
        <v>100000000</v>
      </c>
      <c r="E141" s="10">
        <f>+D141/C141*100</f>
        <v>-50</v>
      </c>
      <c r="F141" s="10">
        <f>+B141/$B$87*100</f>
        <v>-0.60886172592603949</v>
      </c>
      <c r="G141" s="10">
        <f>+C141/$C$87*100</f>
        <v>-1.1432699099420041</v>
      </c>
    </row>
    <row r="142" spans="1:7">
      <c r="A142" t="s">
        <v>97</v>
      </c>
      <c r="B142" s="13">
        <f>SUM(B141)</f>
        <v>-100000000</v>
      </c>
      <c r="C142" s="13">
        <f>SUM(C141)</f>
        <v>-200000000</v>
      </c>
      <c r="D142" s="13">
        <f>+B142-C142</f>
        <v>100000000</v>
      </c>
      <c r="E142" s="10">
        <f>+D142/C142*100</f>
        <v>-50</v>
      </c>
      <c r="F142" s="10">
        <f>+B142/$B$87*100</f>
        <v>-0.60886172592603949</v>
      </c>
      <c r="G142" s="10">
        <f>+C142/$C$87*100</f>
        <v>-1.1432699099420041</v>
      </c>
    </row>
    <row r="143" spans="1:7">
      <c r="A143" t="s">
        <v>98</v>
      </c>
      <c r="B143" s="13">
        <f>+B132+B137+B142</f>
        <v>-3500026046.6799998</v>
      </c>
      <c r="C143" s="13">
        <f>+C132+C137+C142</f>
        <v>-1361217145.1799998</v>
      </c>
      <c r="D143" s="13">
        <f>+B143-C143</f>
        <v>-2138808901.5</v>
      </c>
      <c r="E143" s="10">
        <f>+D143/C143*100</f>
        <v>157.12474009553969</v>
      </c>
      <c r="F143" s="10">
        <f>+B143/$B$87*100</f>
        <v>-21.310318995676774</v>
      </c>
      <c r="G143" s="10">
        <f>+C143/$C$87*100</f>
        <v>-7.7811930149072523</v>
      </c>
    </row>
    <row r="144" spans="1:7">
      <c r="B144" s="11"/>
      <c r="C144" s="11"/>
      <c r="D144" s="11"/>
      <c r="E144" s="10"/>
      <c r="F144" s="10"/>
      <c r="G144" s="10"/>
    </row>
    <row r="145" spans="1:7">
      <c r="A145" s="9" t="s">
        <v>99</v>
      </c>
      <c r="B145" s="11"/>
      <c r="C145" s="11"/>
      <c r="D145" s="11"/>
      <c r="E145" s="10"/>
      <c r="F145" s="10"/>
      <c r="G145" s="10"/>
    </row>
    <row r="146" spans="1:7">
      <c r="B146" s="11"/>
      <c r="C146" s="11"/>
      <c r="D146" s="11"/>
      <c r="E146" s="10"/>
      <c r="F146" s="10"/>
      <c r="G146" s="10"/>
    </row>
    <row r="147" spans="1:7">
      <c r="A147" t="s">
        <v>100</v>
      </c>
      <c r="B147" s="11">
        <v>-740000000</v>
      </c>
      <c r="C147" s="11">
        <v>-740000000</v>
      </c>
      <c r="D147" s="11">
        <f>+B147-C147</f>
        <v>0</v>
      </c>
      <c r="E147" s="10">
        <f t="shared" ref="E147:E154" si="10">+D147/C147*100</f>
        <v>0</v>
      </c>
      <c r="F147" s="10">
        <f>+B147/$B$87*100</f>
        <v>-4.5055767718526925</v>
      </c>
      <c r="G147" s="10">
        <f>+C147/$C$87*100</f>
        <v>-4.2300986667854152</v>
      </c>
    </row>
    <row r="148" spans="1:7">
      <c r="A148" t="s">
        <v>101</v>
      </c>
      <c r="B148" s="11">
        <v>-437426046.85000002</v>
      </c>
      <c r="C148" s="11">
        <v>-437426046.85000002</v>
      </c>
      <c r="D148" s="11">
        <f t="shared" ref="D148:D157" si="11">+B148-C148</f>
        <v>0</v>
      </c>
      <c r="E148" s="10">
        <f t="shared" si="10"/>
        <v>0</v>
      </c>
      <c r="F148" s="10">
        <f>+B148/$B$87*100</f>
        <v>-2.6633197785009561</v>
      </c>
      <c r="G148" s="10">
        <f>+C148/$C$87*100</f>
        <v>-2.5004801859424322</v>
      </c>
    </row>
    <row r="149" spans="1:7">
      <c r="A149" t="s">
        <v>102</v>
      </c>
      <c r="B149" s="11">
        <v>-5445874810</v>
      </c>
      <c r="C149" s="11">
        <v>-4746032323</v>
      </c>
      <c r="D149" s="11">
        <f t="shared" si="11"/>
        <v>-699842487</v>
      </c>
      <c r="E149" s="10">
        <f t="shared" si="10"/>
        <v>14.74584325118175</v>
      </c>
      <c r="F149" s="10">
        <f t="shared" ref="F149:F157" si="12">+B149/$B$87*100</f>
        <v>-33.157847359937428</v>
      </c>
      <c r="G149" s="10">
        <f t="shared" ref="G149:G157" si="13">+C149/$C$87*100</f>
        <v>-27.129979732490249</v>
      </c>
    </row>
    <row r="150" spans="1:7">
      <c r="A150" t="s">
        <v>103</v>
      </c>
      <c r="B150" s="11">
        <v>-1694327818.5899999</v>
      </c>
      <c r="C150" s="11">
        <v>-2144197327.6500001</v>
      </c>
      <c r="D150" s="11">
        <f t="shared" si="11"/>
        <v>449869509.06000018</v>
      </c>
      <c r="E150" s="10">
        <f t="shared" si="10"/>
        <v>-20.980788626998649</v>
      </c>
      <c r="F150" s="10">
        <f t="shared" si="12"/>
        <v>-10.316113599112088</v>
      </c>
      <c r="G150" s="10">
        <f t="shared" si="13"/>
        <v>-12.256981428401508</v>
      </c>
    </row>
    <row r="151" spans="1:7">
      <c r="A151" t="s">
        <v>104</v>
      </c>
      <c r="B151" s="11">
        <v>-17072937.370000001</v>
      </c>
      <c r="C151" s="11">
        <v>-1605100644.29</v>
      </c>
      <c r="D151" s="11">
        <f t="shared" si="11"/>
        <v>1588027706.9200001</v>
      </c>
      <c r="E151" s="10">
        <f t="shared" si="10"/>
        <v>-98.936332283540267</v>
      </c>
      <c r="F151" s="10">
        <f t="shared" si="12"/>
        <v>-0.10395058113725378</v>
      </c>
      <c r="G151" s="10">
        <f t="shared" si="13"/>
        <v>-9.1753163452264044</v>
      </c>
    </row>
    <row r="152" spans="1:7">
      <c r="A152" t="s">
        <v>105</v>
      </c>
      <c r="B152" s="12">
        <v>-4589362695</v>
      </c>
      <c r="C152" s="11">
        <v>-6459708299</v>
      </c>
      <c r="D152" s="11">
        <f t="shared" si="11"/>
        <v>1870345604</v>
      </c>
      <c r="E152" s="10">
        <f t="shared" si="10"/>
        <v>-28.954025745861315</v>
      </c>
      <c r="F152" s="10">
        <f t="shared" si="12"/>
        <v>-27.9428729137828</v>
      </c>
      <c r="G152" s="10">
        <f t="shared" si="13"/>
        <v>-36.925950626246731</v>
      </c>
    </row>
    <row r="153" spans="1:7">
      <c r="A153" t="s">
        <v>106</v>
      </c>
      <c r="B153" s="13">
        <f>SUM(B147:B152)</f>
        <v>-12924064307.810001</v>
      </c>
      <c r="C153" s="13">
        <f>SUM(C147:C152)</f>
        <v>-16132464640.790001</v>
      </c>
      <c r="D153" s="13">
        <f t="shared" si="11"/>
        <v>3208400332.9799995</v>
      </c>
      <c r="E153" s="10">
        <f t="shared" si="10"/>
        <v>-19.8878497763308</v>
      </c>
      <c r="F153" s="10">
        <f t="shared" si="12"/>
        <v>-78.689681004323219</v>
      </c>
      <c r="G153" s="10">
        <f t="shared" si="13"/>
        <v>-92.218806985092755</v>
      </c>
    </row>
    <row r="154" spans="1:7" ht="13.8" thickBot="1">
      <c r="A154" t="s">
        <v>107</v>
      </c>
      <c r="B154" s="15">
        <f>+B143+B153</f>
        <v>-16424090354.490002</v>
      </c>
      <c r="C154" s="15">
        <f>+C143+C153</f>
        <v>-17493681785.970001</v>
      </c>
      <c r="D154" s="15">
        <f t="shared" si="11"/>
        <v>1069591431.4799995</v>
      </c>
      <c r="E154" s="10">
        <f t="shared" si="10"/>
        <v>-6.1141584977143912</v>
      </c>
      <c r="F154" s="10">
        <f t="shared" si="12"/>
        <v>-100</v>
      </c>
      <c r="G154" s="10">
        <f t="shared" si="13"/>
        <v>-100</v>
      </c>
    </row>
    <row r="155" spans="1:7" ht="13.8" thickTop="1">
      <c r="B155" s="11"/>
      <c r="C155" s="11"/>
      <c r="D155" s="11"/>
      <c r="E155" s="10"/>
      <c r="F155" s="10"/>
      <c r="G155" s="10"/>
    </row>
    <row r="156" spans="1:7">
      <c r="A156" t="s">
        <v>108</v>
      </c>
      <c r="B156" s="11">
        <f>-B89</f>
        <v>-1184311149</v>
      </c>
      <c r="C156" s="11">
        <f>-C89</f>
        <v>-739173233.44000006</v>
      </c>
      <c r="D156" s="11">
        <f t="shared" si="11"/>
        <v>-445137915.55999994</v>
      </c>
      <c r="E156" s="10">
        <f>+D156/C156*100</f>
        <v>60.221054473035451</v>
      </c>
      <c r="F156" s="10">
        <f t="shared" si="12"/>
        <v>-7.2108173021359097</v>
      </c>
      <c r="G156" s="10">
        <f t="shared" si="13"/>
        <v>-4.2253725801324444</v>
      </c>
    </row>
    <row r="157" spans="1:7">
      <c r="A157" t="s">
        <v>109</v>
      </c>
      <c r="B157" s="11">
        <f>-B90</f>
        <v>-71322371</v>
      </c>
      <c r="C157" s="11">
        <f>-C90</f>
        <v>-3700017</v>
      </c>
      <c r="D157" s="11">
        <f t="shared" si="11"/>
        <v>-67622354</v>
      </c>
      <c r="E157" s="10">
        <f>+D157/C157*100</f>
        <v>1827.6227920033882</v>
      </c>
      <c r="F157" s="10">
        <f t="shared" si="12"/>
        <v>-0.43425461904197304</v>
      </c>
      <c r="G157" s="10">
        <f t="shared" si="13"/>
        <v>-2.1150590511869419E-2</v>
      </c>
    </row>
  </sheetData>
  <mergeCells count="2">
    <mergeCell ref="A3:G3"/>
    <mergeCell ref="A4:G4"/>
  </mergeCells>
  <phoneticPr fontId="0" type="noConversion"/>
  <printOptions verticalCentered="1"/>
  <pageMargins left="0.78740157480314965" right="0.75" top="0.78740157480314965" bottom="0.78740157480314965" header="0" footer="0"/>
  <pageSetup scale="86" orientation="portrait" horizontalDpi="120" verticalDpi="14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tabSelected="1" workbookViewId="0">
      <selection activeCell="A2" sqref="A2:G2"/>
    </sheetView>
  </sheetViews>
  <sheetFormatPr baseColWidth="10" defaultColWidth="11" defaultRowHeight="12.6"/>
  <cols>
    <col min="1" max="1" width="5.88671875" style="92" customWidth="1"/>
    <col min="2" max="2" width="20.33203125" style="92" customWidth="1"/>
    <col min="3" max="3" width="3" style="92" customWidth="1"/>
    <col min="4" max="4" width="20.88671875" style="92" customWidth="1"/>
    <col min="5" max="5" width="3" style="92" customWidth="1"/>
    <col min="6" max="6" width="21" style="92" customWidth="1"/>
    <col min="7" max="7" width="21.44140625" style="92" customWidth="1"/>
    <col min="8" max="8" width="17.88671875" style="92" customWidth="1"/>
    <col min="9" max="9" width="24.33203125" style="92" customWidth="1"/>
    <col min="10" max="16384" width="11" style="92"/>
  </cols>
  <sheetData>
    <row r="1" spans="1:10">
      <c r="A1" s="133" t="s">
        <v>375</v>
      </c>
      <c r="B1" s="134"/>
      <c r="C1" s="134"/>
      <c r="D1" s="134"/>
      <c r="E1" s="134"/>
      <c r="F1" s="134"/>
      <c r="G1" s="134"/>
      <c r="H1" s="90"/>
      <c r="I1" s="90"/>
      <c r="J1" s="91"/>
    </row>
    <row r="2" spans="1:10">
      <c r="A2" s="135" t="s">
        <v>570</v>
      </c>
      <c r="B2" s="136"/>
      <c r="C2" s="136"/>
      <c r="D2" s="136"/>
      <c r="E2" s="136"/>
      <c r="F2" s="136"/>
      <c r="G2" s="136"/>
      <c r="H2" s="93"/>
      <c r="I2" s="93"/>
      <c r="J2" s="94"/>
    </row>
    <row r="3" spans="1:10">
      <c r="A3" s="95"/>
      <c r="B3" s="93"/>
      <c r="C3" s="93"/>
      <c r="D3" s="93"/>
      <c r="E3" s="93"/>
      <c r="F3" s="93"/>
      <c r="G3" s="93"/>
      <c r="H3" s="93"/>
      <c r="I3" s="93"/>
      <c r="J3" s="94"/>
    </row>
    <row r="4" spans="1:10">
      <c r="A4" s="137" t="s">
        <v>376</v>
      </c>
      <c r="B4" s="138"/>
      <c r="C4" s="138"/>
      <c r="D4" s="138"/>
      <c r="E4" s="138"/>
      <c r="F4" s="138"/>
      <c r="G4" s="138"/>
      <c r="H4" s="93"/>
      <c r="I4" s="93"/>
      <c r="J4" s="94"/>
    </row>
    <row r="5" spans="1:10">
      <c r="A5" s="137" t="s">
        <v>377</v>
      </c>
      <c r="B5" s="138"/>
      <c r="C5" s="138"/>
      <c r="D5" s="138"/>
      <c r="E5" s="138"/>
      <c r="F5" s="138"/>
      <c r="G5" s="138"/>
      <c r="H5" s="93"/>
      <c r="I5" s="93"/>
      <c r="J5" s="94"/>
    </row>
    <row r="6" spans="1:10">
      <c r="A6" s="95"/>
      <c r="B6" s="93"/>
      <c r="C6" s="93"/>
      <c r="D6" s="93"/>
      <c r="E6" s="93"/>
      <c r="F6" s="93"/>
      <c r="G6" s="93"/>
      <c r="H6" s="93"/>
      <c r="I6" s="93"/>
      <c r="J6" s="94"/>
    </row>
    <row r="7" spans="1:10">
      <c r="A7" s="97" t="s">
        <v>378</v>
      </c>
      <c r="B7" s="93"/>
      <c r="C7" s="93"/>
      <c r="D7" s="98" t="s">
        <v>379</v>
      </c>
      <c r="E7" s="93"/>
      <c r="F7" s="93"/>
      <c r="G7" s="96" t="s">
        <v>380</v>
      </c>
      <c r="H7" s="93"/>
      <c r="I7" s="93"/>
      <c r="J7" s="94"/>
    </row>
    <row r="8" spans="1:10">
      <c r="A8" s="97"/>
      <c r="B8" s="93"/>
      <c r="C8" s="93"/>
      <c r="D8" s="98"/>
      <c r="E8" s="93"/>
      <c r="F8" s="93"/>
      <c r="G8" s="96"/>
      <c r="H8" s="93"/>
      <c r="I8" s="93"/>
      <c r="J8" s="94"/>
    </row>
    <row r="9" spans="1:10">
      <c r="A9" s="99" t="s">
        <v>381</v>
      </c>
      <c r="B9" s="100" t="s">
        <v>292</v>
      </c>
      <c r="C9" s="93"/>
      <c r="D9" s="93"/>
      <c r="E9" s="93"/>
      <c r="F9" s="93"/>
      <c r="G9" s="93"/>
      <c r="H9" s="93"/>
      <c r="I9" s="93"/>
      <c r="J9" s="94"/>
    </row>
    <row r="10" spans="1:10">
      <c r="A10" s="97" t="s">
        <v>382</v>
      </c>
      <c r="B10" s="98" t="s">
        <v>383</v>
      </c>
      <c r="C10" s="93"/>
      <c r="D10" s="93"/>
      <c r="E10" s="93"/>
      <c r="F10" s="93"/>
      <c r="G10" s="93"/>
      <c r="H10" s="93"/>
      <c r="I10" s="93"/>
      <c r="J10" s="94"/>
    </row>
    <row r="11" spans="1:10">
      <c r="A11" s="95"/>
      <c r="B11" s="98" t="s">
        <v>384</v>
      </c>
      <c r="C11" s="93"/>
      <c r="D11" s="93"/>
      <c r="E11" s="93"/>
      <c r="F11" s="93"/>
      <c r="G11" s="101">
        <v>324672942.19</v>
      </c>
      <c r="H11" s="93"/>
      <c r="I11" s="93"/>
      <c r="J11" s="94"/>
    </row>
    <row r="12" spans="1:10">
      <c r="A12" s="95"/>
      <c r="B12" s="98" t="s">
        <v>385</v>
      </c>
      <c r="C12" s="93"/>
      <c r="D12" s="93"/>
      <c r="E12" s="93"/>
      <c r="F12" s="93"/>
      <c r="G12" s="101">
        <v>305820959</v>
      </c>
      <c r="H12" s="93"/>
      <c r="I12" s="93"/>
      <c r="J12" s="94"/>
    </row>
    <row r="13" spans="1:10">
      <c r="A13" s="95"/>
      <c r="B13" s="98" t="s">
        <v>386</v>
      </c>
      <c r="C13" s="93"/>
      <c r="D13" s="93"/>
      <c r="E13" s="93"/>
      <c r="F13" s="93"/>
      <c r="G13" s="101">
        <v>4518630295</v>
      </c>
      <c r="H13" s="93"/>
      <c r="I13" s="93"/>
      <c r="J13" s="94"/>
    </row>
    <row r="14" spans="1:10">
      <c r="A14" s="95"/>
      <c r="B14" s="93"/>
      <c r="C14" s="93"/>
      <c r="D14" s="93"/>
      <c r="E14" s="93"/>
      <c r="F14" s="93"/>
      <c r="G14" s="101">
        <f>SUM(G11:G13)</f>
        <v>5149124196.1900005</v>
      </c>
      <c r="H14" s="93"/>
      <c r="I14" s="93"/>
      <c r="J14" s="94"/>
    </row>
    <row r="15" spans="1:10">
      <c r="A15" s="95"/>
      <c r="B15" s="93"/>
      <c r="C15" s="93"/>
      <c r="D15" s="93"/>
      <c r="E15" s="93"/>
      <c r="F15" s="93"/>
      <c r="G15" s="93"/>
      <c r="H15" s="93"/>
      <c r="I15" s="93"/>
      <c r="J15" s="94"/>
    </row>
    <row r="16" spans="1:10">
      <c r="A16" s="102">
        <v>2</v>
      </c>
      <c r="B16" s="98" t="s">
        <v>10</v>
      </c>
      <c r="C16" s="93"/>
      <c r="D16" s="93"/>
      <c r="E16" s="93"/>
      <c r="F16" s="93"/>
      <c r="G16" s="101">
        <v>3530266.5</v>
      </c>
      <c r="H16" s="103" t="s">
        <v>228</v>
      </c>
      <c r="I16" s="93"/>
      <c r="J16" s="94"/>
    </row>
    <row r="17" spans="1:10">
      <c r="A17" s="95"/>
      <c r="B17" s="93"/>
      <c r="C17" s="93"/>
      <c r="D17" s="93"/>
      <c r="E17" s="93"/>
      <c r="F17" s="93"/>
      <c r="G17" s="93"/>
      <c r="H17" s="93"/>
      <c r="I17" s="93"/>
      <c r="J17" s="94"/>
    </row>
    <row r="18" spans="1:10">
      <c r="A18" s="102">
        <v>3</v>
      </c>
      <c r="B18" s="98" t="s">
        <v>387</v>
      </c>
      <c r="C18" s="93"/>
      <c r="D18" s="93"/>
      <c r="E18" s="93"/>
      <c r="F18" s="93"/>
      <c r="G18" s="101">
        <v>1381260740.8199999</v>
      </c>
      <c r="H18" s="93"/>
      <c r="I18" s="93"/>
      <c r="J18" s="94"/>
    </row>
    <row r="19" spans="1:10">
      <c r="A19" s="95"/>
      <c r="B19" s="93"/>
      <c r="C19" s="93"/>
      <c r="D19" s="93"/>
      <c r="E19" s="93"/>
      <c r="F19" s="93"/>
      <c r="G19" s="93"/>
      <c r="H19" s="93"/>
      <c r="I19" s="93"/>
      <c r="J19" s="94"/>
    </row>
    <row r="20" spans="1:10">
      <c r="A20" s="102">
        <v>4</v>
      </c>
      <c r="B20" s="98" t="s">
        <v>388</v>
      </c>
      <c r="C20" s="93"/>
      <c r="D20" s="93"/>
      <c r="E20" s="93"/>
      <c r="F20" s="93"/>
      <c r="G20" s="101">
        <v>0</v>
      </c>
      <c r="H20" s="93"/>
      <c r="I20" s="93"/>
      <c r="J20" s="94"/>
    </row>
    <row r="21" spans="1:10">
      <c r="A21" s="95"/>
      <c r="B21" s="93"/>
      <c r="C21" s="93"/>
      <c r="D21" s="93"/>
      <c r="E21" s="93"/>
      <c r="F21" s="93"/>
      <c r="G21" s="93"/>
      <c r="H21" s="93"/>
      <c r="I21" s="93"/>
      <c r="J21" s="94"/>
    </row>
    <row r="22" spans="1:10">
      <c r="A22" s="102">
        <v>5</v>
      </c>
      <c r="B22" s="98" t="s">
        <v>389</v>
      </c>
      <c r="C22" s="93"/>
      <c r="D22" s="93"/>
      <c r="E22" s="93"/>
      <c r="F22" s="93"/>
      <c r="G22" s="93"/>
      <c r="H22" s="93"/>
      <c r="I22" s="93"/>
      <c r="J22" s="94"/>
    </row>
    <row r="23" spans="1:10">
      <c r="A23" s="95"/>
      <c r="B23" s="98" t="s">
        <v>390</v>
      </c>
      <c r="C23" s="93"/>
      <c r="D23" s="93"/>
      <c r="E23" s="93"/>
      <c r="F23" s="93"/>
      <c r="G23" s="101">
        <v>12000000</v>
      </c>
      <c r="H23" s="93"/>
      <c r="I23" s="93"/>
      <c r="J23" s="94"/>
    </row>
    <row r="24" spans="1:10">
      <c r="A24" s="95"/>
      <c r="B24" s="98" t="s">
        <v>30</v>
      </c>
      <c r="C24" s="93"/>
      <c r="D24" s="93"/>
      <c r="E24" s="93"/>
      <c r="F24" s="93"/>
      <c r="G24" s="101">
        <v>41259458</v>
      </c>
      <c r="H24" s="93"/>
      <c r="I24" s="93"/>
      <c r="J24" s="94"/>
    </row>
    <row r="25" spans="1:10">
      <c r="A25" s="95"/>
      <c r="B25" s="98" t="s">
        <v>391</v>
      </c>
      <c r="C25" s="93"/>
      <c r="D25" s="93"/>
      <c r="E25" s="93"/>
      <c r="F25" s="93"/>
      <c r="G25" s="101">
        <v>12961900</v>
      </c>
      <c r="H25" s="93"/>
      <c r="I25" s="93"/>
      <c r="J25" s="94"/>
    </row>
    <row r="26" spans="1:10">
      <c r="A26" s="95"/>
      <c r="B26" s="98"/>
      <c r="C26" s="93"/>
      <c r="D26" s="93"/>
      <c r="E26" s="93"/>
      <c r="F26" s="93"/>
      <c r="G26" s="101">
        <f>G23+G24+G25</f>
        <v>66221358</v>
      </c>
      <c r="H26" s="93"/>
      <c r="I26" s="101"/>
      <c r="J26" s="94"/>
    </row>
    <row r="27" spans="1:10">
      <c r="A27" s="95"/>
      <c r="B27" s="93"/>
      <c r="C27" s="93"/>
      <c r="D27" s="93"/>
      <c r="E27" s="93"/>
      <c r="F27" s="93"/>
      <c r="G27" s="93"/>
      <c r="H27" s="93"/>
      <c r="I27" s="93"/>
      <c r="J27" s="94"/>
    </row>
    <row r="28" spans="1:10">
      <c r="A28" s="102">
        <v>6</v>
      </c>
      <c r="B28" s="98" t="s">
        <v>23</v>
      </c>
      <c r="C28" s="93"/>
      <c r="D28" s="93"/>
      <c r="E28" s="93"/>
      <c r="F28" s="93"/>
      <c r="G28" s="93"/>
      <c r="H28" s="93"/>
      <c r="I28" s="93"/>
      <c r="J28" s="94"/>
    </row>
    <row r="29" spans="1:10">
      <c r="A29" s="95"/>
      <c r="B29" s="98" t="s">
        <v>392</v>
      </c>
      <c r="C29" s="93"/>
      <c r="D29" s="93"/>
      <c r="E29" s="93"/>
      <c r="F29" s="93"/>
      <c r="G29" s="101">
        <v>341208888.13</v>
      </c>
      <c r="H29" s="93"/>
      <c r="I29" s="93"/>
      <c r="J29" s="94"/>
    </row>
    <row r="30" spans="1:10">
      <c r="A30" s="95"/>
      <c r="B30" s="98" t="s">
        <v>393</v>
      </c>
      <c r="C30" s="93"/>
      <c r="D30" s="93"/>
      <c r="E30" s="93"/>
      <c r="F30" s="93"/>
      <c r="G30" s="101">
        <v>54063833.560000002</v>
      </c>
      <c r="H30" s="93"/>
      <c r="I30" s="93"/>
      <c r="J30" s="94"/>
    </row>
    <row r="31" spans="1:10">
      <c r="A31" s="95"/>
      <c r="B31" s="98" t="s">
        <v>394</v>
      </c>
      <c r="C31" s="93"/>
      <c r="D31" s="93"/>
      <c r="E31" s="93"/>
      <c r="F31" s="93"/>
      <c r="G31" s="101">
        <v>10555459.189999999</v>
      </c>
      <c r="H31" s="93"/>
      <c r="I31" s="93"/>
      <c r="J31" s="94"/>
    </row>
    <row r="32" spans="1:10">
      <c r="A32" s="95"/>
      <c r="B32" s="98" t="s">
        <v>29</v>
      </c>
      <c r="C32" s="93"/>
      <c r="D32" s="93"/>
      <c r="E32" s="93"/>
      <c r="F32" s="93"/>
      <c r="G32" s="101">
        <v>338247618</v>
      </c>
      <c r="H32" s="93"/>
      <c r="I32" s="93"/>
      <c r="J32" s="94"/>
    </row>
    <row r="33" spans="1:10">
      <c r="A33" s="95"/>
      <c r="B33" s="98" t="s">
        <v>395</v>
      </c>
      <c r="C33" s="93"/>
      <c r="D33" s="93"/>
      <c r="E33" s="93"/>
      <c r="F33" s="93"/>
      <c r="G33" s="101">
        <v>27451957.440000001</v>
      </c>
      <c r="H33" s="93"/>
      <c r="I33" s="93"/>
      <c r="J33" s="94"/>
    </row>
    <row r="34" spans="1:10">
      <c r="A34" s="95"/>
      <c r="B34" s="98" t="s">
        <v>396</v>
      </c>
      <c r="C34" s="93"/>
      <c r="D34" s="93"/>
      <c r="E34" s="93"/>
      <c r="F34" s="93"/>
      <c r="G34" s="101">
        <v>5228660</v>
      </c>
      <c r="H34" s="93"/>
      <c r="I34" s="93"/>
      <c r="J34" s="94"/>
    </row>
    <row r="35" spans="1:10">
      <c r="A35" s="95"/>
      <c r="B35" s="93"/>
      <c r="C35" s="93"/>
      <c r="D35" s="93"/>
      <c r="E35" s="93"/>
      <c r="F35" s="93"/>
      <c r="G35" s="101">
        <f>SUM(G29:G34)</f>
        <v>776756416.32000005</v>
      </c>
      <c r="H35" s="103">
        <f>771527756.32+5228660</f>
        <v>776756416.32000005</v>
      </c>
      <c r="I35" s="93"/>
      <c r="J35" s="94"/>
    </row>
    <row r="36" spans="1:10">
      <c r="A36" s="95"/>
      <c r="B36" s="93"/>
      <c r="C36" s="93"/>
      <c r="D36" s="93"/>
      <c r="E36" s="93"/>
      <c r="F36" s="93"/>
      <c r="G36" s="93"/>
      <c r="H36" s="93"/>
      <c r="I36" s="93"/>
      <c r="J36" s="94"/>
    </row>
    <row r="37" spans="1:10">
      <c r="A37" s="102">
        <v>7</v>
      </c>
      <c r="B37" s="98" t="s">
        <v>397</v>
      </c>
      <c r="C37" s="93"/>
      <c r="D37" s="93"/>
      <c r="E37" s="93"/>
      <c r="F37" s="93"/>
      <c r="G37" s="104">
        <v>0</v>
      </c>
      <c r="H37" s="93"/>
      <c r="I37" s="93"/>
      <c r="J37" s="94"/>
    </row>
    <row r="38" spans="1:10">
      <c r="A38" s="95"/>
      <c r="B38" s="93"/>
      <c r="C38" s="93"/>
      <c r="D38" s="93"/>
      <c r="E38" s="93"/>
      <c r="F38" s="93"/>
      <c r="G38" s="93"/>
      <c r="H38" s="93"/>
      <c r="I38" s="93"/>
      <c r="J38" s="94"/>
    </row>
    <row r="39" spans="1:10">
      <c r="A39" s="102">
        <v>8</v>
      </c>
      <c r="B39" s="98" t="s">
        <v>398</v>
      </c>
      <c r="C39" s="93"/>
      <c r="D39" s="93"/>
      <c r="E39" s="93"/>
      <c r="F39" s="93"/>
      <c r="G39" s="93"/>
      <c r="H39" s="93"/>
      <c r="I39" s="93"/>
      <c r="J39" s="94"/>
    </row>
    <row r="40" spans="1:10">
      <c r="A40" s="95"/>
      <c r="B40" s="98" t="s">
        <v>42</v>
      </c>
      <c r="C40" s="93"/>
      <c r="D40" s="93"/>
      <c r="E40" s="93"/>
      <c r="F40" s="93"/>
      <c r="G40" s="101">
        <f>58487528+7590456.63+61000000</f>
        <v>127077984.63</v>
      </c>
      <c r="H40" s="93"/>
      <c r="I40" s="93"/>
      <c r="J40" s="94"/>
    </row>
    <row r="41" spans="1:10">
      <c r="A41" s="95"/>
      <c r="B41" s="98" t="s">
        <v>30</v>
      </c>
      <c r="C41" s="93"/>
      <c r="D41" s="93"/>
      <c r="E41" s="93"/>
      <c r="F41" s="93"/>
      <c r="G41" s="101">
        <f>163172039.18+26227493.46+624259</f>
        <v>190023791.64000002</v>
      </c>
      <c r="H41" s="93" t="s">
        <v>228</v>
      </c>
      <c r="I41" s="93"/>
      <c r="J41" s="94"/>
    </row>
    <row r="42" spans="1:10">
      <c r="A42" s="95"/>
      <c r="B42" s="98" t="s">
        <v>399</v>
      </c>
      <c r="C42" s="93"/>
      <c r="D42" s="93"/>
      <c r="E42" s="93"/>
      <c r="F42" s="93"/>
      <c r="G42" s="101">
        <f>39822966+66651376</f>
        <v>106474342</v>
      </c>
      <c r="H42" s="93" t="s">
        <v>228</v>
      </c>
      <c r="I42" s="93"/>
      <c r="J42" s="94"/>
    </row>
    <row r="43" spans="1:10">
      <c r="A43" s="95"/>
      <c r="B43" s="98" t="s">
        <v>400</v>
      </c>
      <c r="C43" s="93"/>
      <c r="D43" s="93"/>
      <c r="E43" s="93"/>
      <c r="F43" s="93"/>
      <c r="G43" s="101">
        <f>49749075+83264634</f>
        <v>133013709</v>
      </c>
      <c r="H43" s="93" t="s">
        <v>228</v>
      </c>
      <c r="I43" s="93"/>
      <c r="J43" s="94"/>
    </row>
    <row r="44" spans="1:10">
      <c r="A44" s="95"/>
      <c r="B44" s="98"/>
      <c r="C44" s="93"/>
      <c r="D44" s="93"/>
      <c r="E44" s="93"/>
      <c r="F44" s="93"/>
      <c r="G44" s="101">
        <f>SUM(G40:G43)</f>
        <v>556589827.26999998</v>
      </c>
      <c r="H44" s="93" t="s">
        <v>228</v>
      </c>
      <c r="I44" s="93"/>
      <c r="J44" s="94"/>
    </row>
    <row r="45" spans="1:10">
      <c r="A45" s="95"/>
      <c r="B45" s="93"/>
      <c r="C45" s="93"/>
      <c r="D45" s="93"/>
      <c r="E45" s="93"/>
      <c r="F45" s="93"/>
      <c r="G45" s="93"/>
      <c r="H45" s="93"/>
      <c r="I45" s="93"/>
      <c r="J45" s="94"/>
    </row>
    <row r="46" spans="1:10">
      <c r="A46" s="102">
        <v>9</v>
      </c>
      <c r="B46" s="98" t="s">
        <v>401</v>
      </c>
      <c r="C46" s="93"/>
      <c r="D46" s="93"/>
      <c r="E46" s="93"/>
      <c r="F46" s="93"/>
      <c r="G46" s="93"/>
      <c r="H46" s="93"/>
      <c r="I46" s="93"/>
      <c r="J46" s="94"/>
    </row>
    <row r="47" spans="1:10">
      <c r="A47" s="95"/>
      <c r="B47" s="98" t="s">
        <v>402</v>
      </c>
      <c r="C47" s="93"/>
      <c r="D47" s="93"/>
      <c r="E47" s="93"/>
      <c r="F47" s="93"/>
      <c r="G47" s="101">
        <f>1054548642.04+60037925.44</f>
        <v>1114586567.48</v>
      </c>
      <c r="H47" s="93"/>
      <c r="I47" s="93"/>
      <c r="J47" s="94"/>
    </row>
    <row r="48" spans="1:10">
      <c r="A48" s="95"/>
      <c r="B48" s="98" t="s">
        <v>403</v>
      </c>
      <c r="C48" s="93"/>
      <c r="D48" s="93"/>
      <c r="E48" s="93"/>
      <c r="F48" s="93"/>
      <c r="G48" s="101">
        <v>180560193</v>
      </c>
      <c r="H48" s="93" t="s">
        <v>228</v>
      </c>
      <c r="I48" s="93"/>
      <c r="J48" s="94"/>
    </row>
    <row r="49" spans="1:10">
      <c r="A49" s="95"/>
      <c r="B49" s="98" t="s">
        <v>404</v>
      </c>
      <c r="C49" s="93"/>
      <c r="D49" s="93"/>
      <c r="E49" s="93"/>
      <c r="F49" s="93"/>
      <c r="G49" s="101">
        <v>225565923</v>
      </c>
      <c r="H49" s="93"/>
      <c r="I49" s="93"/>
      <c r="J49" s="94"/>
    </row>
    <row r="50" spans="1:10">
      <c r="A50" s="95"/>
      <c r="B50" s="98" t="s">
        <v>405</v>
      </c>
      <c r="C50" s="93"/>
      <c r="D50" s="93"/>
      <c r="E50" s="93"/>
      <c r="F50" s="93"/>
      <c r="G50" s="101">
        <f>528264679.24+22909657.13+25970868.2+100052190+23986687+3192000+1236600+33153929+16639800+37250000+18429120</f>
        <v>811085530.57000005</v>
      </c>
      <c r="H50" s="93"/>
      <c r="I50" s="93"/>
      <c r="J50" s="94"/>
    </row>
    <row r="51" spans="1:10">
      <c r="A51" s="95"/>
      <c r="B51" s="98" t="s">
        <v>30</v>
      </c>
      <c r="C51" s="93"/>
      <c r="D51" s="93"/>
      <c r="E51" s="93"/>
      <c r="F51" s="93"/>
      <c r="G51" s="101">
        <f>2053684046.78+207450529.44+1019359450.75+86377905.36+43534847.2+122252450.43</f>
        <v>3532659229.9599996</v>
      </c>
      <c r="H51" s="93"/>
      <c r="I51" s="93"/>
      <c r="J51" s="94"/>
    </row>
    <row r="52" spans="1:10">
      <c r="A52" s="95"/>
      <c r="B52" s="98" t="s">
        <v>406</v>
      </c>
      <c r="C52" s="93"/>
      <c r="D52" s="93"/>
      <c r="E52" s="93"/>
      <c r="F52" s="93"/>
      <c r="G52" s="101">
        <f>35215187+71887730</f>
        <v>107102917</v>
      </c>
      <c r="H52" s="93" t="s">
        <v>228</v>
      </c>
      <c r="I52" s="93"/>
      <c r="J52" s="94"/>
    </row>
    <row r="53" spans="1:10">
      <c r="A53" s="95"/>
      <c r="B53" s="98"/>
      <c r="C53" s="93"/>
      <c r="D53" s="93"/>
      <c r="E53" s="93"/>
      <c r="F53" s="93"/>
      <c r="G53" s="101">
        <f>SUM(G47:G52)</f>
        <v>5971560361.0100002</v>
      </c>
      <c r="H53" s="101" t="s">
        <v>228</v>
      </c>
      <c r="I53" s="93"/>
      <c r="J53" s="94"/>
    </row>
    <row r="54" spans="1:10">
      <c r="A54" s="95"/>
      <c r="B54" s="93"/>
      <c r="C54" s="93"/>
      <c r="D54" s="93"/>
      <c r="E54" s="93"/>
      <c r="F54" s="93"/>
      <c r="G54" s="93"/>
      <c r="H54" s="101"/>
      <c r="I54" s="93"/>
      <c r="J54" s="94"/>
    </row>
    <row r="55" spans="1:10">
      <c r="A55" s="102">
        <v>10</v>
      </c>
      <c r="B55" s="98" t="s">
        <v>407</v>
      </c>
      <c r="C55" s="93"/>
      <c r="D55" s="93"/>
      <c r="E55" s="93"/>
      <c r="F55" s="93"/>
      <c r="G55" s="101"/>
      <c r="H55" s="93"/>
      <c r="I55" s="93"/>
      <c r="J55" s="94"/>
    </row>
    <row r="56" spans="1:10">
      <c r="A56" s="95"/>
      <c r="B56" s="98" t="s">
        <v>51</v>
      </c>
      <c r="C56" s="93"/>
      <c r="D56" s="93"/>
      <c r="E56" s="93"/>
      <c r="F56" s="93"/>
      <c r="G56" s="101">
        <f>-2783569120.86+1018156708.44</f>
        <v>-1765412412.4200001</v>
      </c>
      <c r="H56" s="93"/>
      <c r="I56" s="93"/>
      <c r="J56" s="94"/>
    </row>
    <row r="57" spans="1:10">
      <c r="A57" s="95"/>
      <c r="B57" s="98" t="s">
        <v>30</v>
      </c>
      <c r="C57" s="93"/>
      <c r="D57" s="93"/>
      <c r="E57" s="93"/>
      <c r="F57" s="93"/>
      <c r="G57" s="101">
        <v>-1018156708.4400001</v>
      </c>
      <c r="H57" s="93"/>
      <c r="I57" s="93"/>
      <c r="J57" s="94"/>
    </row>
    <row r="58" spans="1:10">
      <c r="A58" s="95"/>
      <c r="B58" s="98"/>
      <c r="C58" s="93"/>
      <c r="D58" s="93"/>
      <c r="E58" s="93"/>
      <c r="F58" s="93"/>
      <c r="G58" s="101">
        <f>G56+G57</f>
        <v>-2783569120.8600001</v>
      </c>
      <c r="H58" s="93"/>
      <c r="I58" s="93"/>
      <c r="J58" s="94"/>
    </row>
    <row r="59" spans="1:10">
      <c r="A59" s="95"/>
      <c r="B59" s="93"/>
      <c r="C59" s="93"/>
      <c r="D59" s="93"/>
      <c r="E59" s="93"/>
      <c r="F59" s="93"/>
      <c r="G59" s="93"/>
      <c r="H59" s="93"/>
      <c r="I59" s="93"/>
      <c r="J59" s="94"/>
    </row>
    <row r="60" spans="1:10">
      <c r="A60" s="102">
        <v>11</v>
      </c>
      <c r="B60" s="98" t="s">
        <v>53</v>
      </c>
      <c r="C60" s="93"/>
      <c r="D60" s="93"/>
      <c r="E60" s="93"/>
      <c r="F60" s="93"/>
      <c r="G60" s="93"/>
      <c r="H60" s="93"/>
      <c r="I60" s="93"/>
      <c r="J60" s="94"/>
    </row>
    <row r="61" spans="1:10">
      <c r="A61" s="95"/>
      <c r="B61" s="98" t="s">
        <v>33</v>
      </c>
      <c r="C61" s="93"/>
      <c r="D61" s="93"/>
      <c r="E61" s="93"/>
      <c r="F61" s="93"/>
      <c r="G61" s="101">
        <v>107500</v>
      </c>
      <c r="H61" s="93"/>
      <c r="I61" s="93"/>
      <c r="J61" s="94"/>
    </row>
    <row r="62" spans="1:10">
      <c r="A62" s="95"/>
      <c r="B62" s="98" t="s">
        <v>408</v>
      </c>
      <c r="C62" s="93"/>
      <c r="D62" s="93"/>
      <c r="E62" s="93"/>
      <c r="F62" s="93"/>
      <c r="G62" s="101">
        <v>106305514</v>
      </c>
      <c r="H62" s="93"/>
      <c r="I62" s="93"/>
      <c r="J62" s="94"/>
    </row>
    <row r="63" spans="1:10">
      <c r="A63" s="95"/>
      <c r="B63" s="98" t="s">
        <v>409</v>
      </c>
      <c r="C63" s="93"/>
      <c r="D63" s="93"/>
      <c r="E63" s="93"/>
      <c r="F63" s="93"/>
      <c r="G63" s="101">
        <v>101207996</v>
      </c>
      <c r="H63" s="93"/>
      <c r="I63" s="93"/>
      <c r="J63" s="94"/>
    </row>
    <row r="64" spans="1:10">
      <c r="A64" s="95"/>
      <c r="B64" s="98" t="s">
        <v>59</v>
      </c>
      <c r="C64" s="93"/>
      <c r="D64" s="93"/>
      <c r="E64" s="93"/>
      <c r="F64" s="93"/>
      <c r="G64" s="101">
        <f>G61+G62+G63</f>
        <v>207621010</v>
      </c>
      <c r="H64" s="93"/>
      <c r="I64" s="93"/>
      <c r="J64" s="94"/>
    </row>
    <row r="65" spans="1:10">
      <c r="A65" s="95"/>
      <c r="B65" s="93"/>
      <c r="C65" s="93"/>
      <c r="D65" s="93"/>
      <c r="E65" s="93"/>
      <c r="F65" s="93"/>
      <c r="G65" s="93"/>
      <c r="H65" s="93"/>
      <c r="I65" s="93"/>
      <c r="J65" s="94"/>
    </row>
    <row r="66" spans="1:10">
      <c r="A66" s="102">
        <v>12</v>
      </c>
      <c r="B66" s="105" t="s">
        <v>410</v>
      </c>
      <c r="C66" s="93"/>
      <c r="D66" s="93"/>
      <c r="E66" s="93"/>
      <c r="F66" s="93"/>
      <c r="G66" s="106">
        <f>G14+G16+G18+G20+G26+G35+G37+G44+G53+G58+G64</f>
        <v>11329095055.25</v>
      </c>
      <c r="H66" s="101">
        <f>14843162877.25+757945744-4272013566</f>
        <v>11329095055.25</v>
      </c>
      <c r="I66" s="104">
        <f>2633987+6987+1024139+409502+63151+929596+4615148+6907680-1793699+127020</f>
        <v>14923511</v>
      </c>
      <c r="J66" s="94"/>
    </row>
    <row r="67" spans="1:10">
      <c r="A67" s="102"/>
      <c r="B67" s="105"/>
      <c r="C67" s="93"/>
      <c r="D67" s="93"/>
      <c r="E67" s="93"/>
      <c r="F67" s="93"/>
      <c r="G67" s="106"/>
      <c r="H67" s="104"/>
      <c r="I67" s="104"/>
      <c r="J67" s="94"/>
    </row>
    <row r="68" spans="1:10">
      <c r="A68" s="99" t="s">
        <v>411</v>
      </c>
      <c r="B68" s="100" t="s">
        <v>412</v>
      </c>
      <c r="C68" s="93"/>
      <c r="D68" s="93"/>
      <c r="E68" s="93"/>
      <c r="F68" s="93"/>
      <c r="G68" s="93"/>
      <c r="H68" s="93"/>
      <c r="I68" s="93"/>
      <c r="J68" s="94"/>
    </row>
    <row r="69" spans="1:10">
      <c r="A69" s="102">
        <v>13</v>
      </c>
      <c r="B69" s="98" t="s">
        <v>413</v>
      </c>
      <c r="C69" s="93"/>
      <c r="D69" s="93"/>
      <c r="E69" s="93"/>
      <c r="F69" s="93"/>
      <c r="G69" s="101">
        <v>209587</v>
      </c>
      <c r="H69" s="93"/>
      <c r="I69" s="93"/>
      <c r="J69" s="94"/>
    </row>
    <row r="70" spans="1:10">
      <c r="A70" s="95"/>
      <c r="B70" s="93"/>
      <c r="C70" s="93"/>
      <c r="D70" s="93"/>
      <c r="E70" s="93"/>
      <c r="F70" s="93"/>
      <c r="G70" s="93"/>
      <c r="H70" s="93"/>
      <c r="I70" s="93"/>
      <c r="J70" s="94"/>
    </row>
    <row r="71" spans="1:10">
      <c r="A71" s="102">
        <v>14</v>
      </c>
      <c r="B71" s="98" t="s">
        <v>414</v>
      </c>
      <c r="C71" s="93"/>
      <c r="D71" s="93"/>
      <c r="E71" s="93"/>
      <c r="F71" s="93"/>
      <c r="G71" s="101">
        <v>0</v>
      </c>
      <c r="H71" s="93"/>
      <c r="I71" s="93"/>
      <c r="J71" s="94"/>
    </row>
    <row r="72" spans="1:10">
      <c r="A72" s="95"/>
      <c r="B72" s="93"/>
      <c r="C72" s="93"/>
      <c r="D72" s="93"/>
      <c r="E72" s="93"/>
      <c r="F72" s="93"/>
      <c r="G72" s="93"/>
      <c r="H72" s="93"/>
      <c r="I72" s="93"/>
      <c r="J72" s="94"/>
    </row>
    <row r="73" spans="1:10">
      <c r="A73" s="102">
        <v>15</v>
      </c>
      <c r="B73" s="98" t="s">
        <v>415</v>
      </c>
      <c r="C73" s="93"/>
      <c r="D73" s="93"/>
      <c r="E73" s="93"/>
      <c r="F73" s="93"/>
      <c r="G73" s="101">
        <f>1975000000+21111738</f>
        <v>1996111738</v>
      </c>
      <c r="H73" s="93"/>
      <c r="I73" s="93"/>
      <c r="J73" s="94"/>
    </row>
    <row r="74" spans="1:10">
      <c r="A74" s="95"/>
      <c r="B74" s="93"/>
      <c r="C74" s="93"/>
      <c r="D74" s="93"/>
      <c r="E74" s="93"/>
      <c r="F74" s="93"/>
      <c r="G74" s="93"/>
      <c r="H74" s="93"/>
      <c r="I74" s="93"/>
      <c r="J74" s="94"/>
    </row>
    <row r="75" spans="1:10">
      <c r="A75" s="102">
        <v>16</v>
      </c>
      <c r="B75" s="98" t="s">
        <v>91</v>
      </c>
      <c r="C75" s="93"/>
      <c r="D75" s="93"/>
      <c r="E75" s="93"/>
      <c r="F75" s="93"/>
      <c r="G75" s="101"/>
      <c r="H75" s="93"/>
      <c r="I75" s="93"/>
      <c r="J75" s="94"/>
    </row>
    <row r="76" spans="1:10">
      <c r="A76" s="95"/>
      <c r="B76" s="98" t="s">
        <v>68</v>
      </c>
      <c r="C76" s="93"/>
      <c r="D76" s="93"/>
      <c r="E76" s="93"/>
      <c r="F76" s="93"/>
      <c r="G76" s="101">
        <f>165716568-21111738</f>
        <v>144604830</v>
      </c>
      <c r="H76" s="93"/>
      <c r="I76" s="93"/>
      <c r="J76" s="94"/>
    </row>
    <row r="77" spans="1:10">
      <c r="A77" s="95"/>
      <c r="B77" s="98" t="s">
        <v>416</v>
      </c>
      <c r="C77" s="93"/>
      <c r="D77" s="93"/>
      <c r="E77" s="93"/>
      <c r="F77" s="93"/>
      <c r="G77" s="101">
        <f>1463148+1337566</f>
        <v>2800714</v>
      </c>
      <c r="H77" s="93"/>
      <c r="I77" s="93"/>
      <c r="J77" s="94"/>
    </row>
    <row r="78" spans="1:10">
      <c r="A78" s="95"/>
      <c r="B78" s="98" t="s">
        <v>356</v>
      </c>
      <c r="C78" s="93"/>
      <c r="D78" s="93"/>
      <c r="E78" s="93"/>
      <c r="F78" s="93"/>
      <c r="G78" s="101">
        <v>36226078.979999997</v>
      </c>
      <c r="H78" s="93"/>
      <c r="I78" s="93"/>
      <c r="J78" s="94"/>
    </row>
    <row r="79" spans="1:10">
      <c r="A79" s="95"/>
      <c r="B79" s="98" t="s">
        <v>73</v>
      </c>
      <c r="C79" s="93"/>
      <c r="D79" s="93"/>
      <c r="E79" s="93"/>
      <c r="F79" s="93"/>
      <c r="G79" s="101">
        <v>17663283</v>
      </c>
      <c r="H79" s="93"/>
      <c r="I79" s="93"/>
      <c r="J79" s="94"/>
    </row>
    <row r="80" spans="1:10">
      <c r="A80" s="95"/>
      <c r="B80" s="98" t="s">
        <v>70</v>
      </c>
      <c r="C80" s="93"/>
      <c r="D80" s="93"/>
      <c r="E80" s="93"/>
      <c r="F80" s="93"/>
      <c r="G80" s="101">
        <v>37353159</v>
      </c>
      <c r="H80" s="93"/>
      <c r="I80" s="93"/>
      <c r="J80" s="94"/>
    </row>
    <row r="81" spans="1:10">
      <c r="A81" s="95"/>
      <c r="B81" s="98" t="s">
        <v>417</v>
      </c>
      <c r="C81" s="93"/>
      <c r="D81" s="93"/>
      <c r="E81" s="93"/>
      <c r="F81" s="93"/>
      <c r="G81" s="101">
        <v>15005770</v>
      </c>
      <c r="H81" s="93"/>
      <c r="I81" s="93"/>
      <c r="J81" s="94"/>
    </row>
    <row r="82" spans="1:10">
      <c r="A82" s="95"/>
      <c r="B82" s="98" t="s">
        <v>418</v>
      </c>
      <c r="C82" s="93"/>
      <c r="D82" s="93"/>
      <c r="E82" s="93"/>
      <c r="F82" s="93"/>
      <c r="G82" s="101">
        <v>290287473.24000001</v>
      </c>
      <c r="H82" s="93"/>
      <c r="I82" s="93"/>
      <c r="J82" s="94"/>
    </row>
    <row r="83" spans="1:10">
      <c r="A83" s="95"/>
      <c r="B83" s="98" t="s">
        <v>419</v>
      </c>
      <c r="C83" s="93"/>
      <c r="D83" s="93"/>
      <c r="E83" s="93"/>
      <c r="F83" s="93"/>
      <c r="G83" s="101">
        <v>838841</v>
      </c>
      <c r="H83" s="93"/>
      <c r="I83" s="93"/>
      <c r="J83" s="94"/>
    </row>
    <row r="84" spans="1:10">
      <c r="A84" s="95"/>
      <c r="B84" s="98" t="s">
        <v>80</v>
      </c>
      <c r="C84" s="93"/>
      <c r="D84" s="93"/>
      <c r="E84" s="93"/>
      <c r="F84" s="93"/>
      <c r="G84" s="101">
        <v>384143210</v>
      </c>
      <c r="H84" s="93"/>
      <c r="I84" s="93"/>
      <c r="J84" s="94"/>
    </row>
    <row r="85" spans="1:10">
      <c r="A85" s="95"/>
      <c r="B85" s="98" t="s">
        <v>420</v>
      </c>
      <c r="C85" s="93"/>
      <c r="D85" s="93"/>
      <c r="E85" s="93"/>
      <c r="F85" s="93"/>
      <c r="G85" s="101">
        <v>149054486</v>
      </c>
      <c r="H85" s="93"/>
      <c r="I85" s="93"/>
      <c r="J85" s="94"/>
    </row>
    <row r="86" spans="1:10">
      <c r="A86" s="95"/>
      <c r="B86" s="93"/>
      <c r="C86" s="93"/>
      <c r="D86" s="93"/>
      <c r="E86" s="93"/>
      <c r="F86" s="93"/>
      <c r="G86" s="101">
        <f>SUM(G76:G85)</f>
        <v>1077977845.22</v>
      </c>
      <c r="H86" s="93"/>
      <c r="I86" s="93"/>
      <c r="J86" s="94"/>
    </row>
    <row r="87" spans="1:10">
      <c r="A87" s="95"/>
      <c r="B87" s="93"/>
      <c r="C87" s="93"/>
      <c r="D87" s="93"/>
      <c r="E87" s="93"/>
      <c r="F87" s="93"/>
      <c r="G87" s="101"/>
      <c r="H87" s="93"/>
      <c r="I87" s="93"/>
      <c r="J87" s="94"/>
    </row>
    <row r="88" spans="1:10">
      <c r="A88" s="102">
        <v>17</v>
      </c>
      <c r="B88" s="105" t="s">
        <v>98</v>
      </c>
      <c r="C88" s="93"/>
      <c r="D88" s="93"/>
      <c r="E88" s="93"/>
      <c r="F88" s="93"/>
      <c r="G88" s="106">
        <f>G69+G71+G73+G86</f>
        <v>3074299170.2200003</v>
      </c>
      <c r="H88" s="107" t="s">
        <v>228</v>
      </c>
      <c r="I88" s="93"/>
      <c r="J88" s="94"/>
    </row>
    <row r="89" spans="1:10">
      <c r="A89" s="95"/>
      <c r="B89" s="93"/>
      <c r="C89" s="93"/>
      <c r="D89" s="93"/>
      <c r="E89" s="93"/>
      <c r="F89" s="93"/>
      <c r="G89" s="93"/>
      <c r="H89" s="93"/>
      <c r="I89" s="93"/>
      <c r="J89" s="94"/>
    </row>
    <row r="90" spans="1:10">
      <c r="A90" s="102">
        <v>18</v>
      </c>
      <c r="B90" s="98" t="s">
        <v>421</v>
      </c>
      <c r="C90" s="93"/>
      <c r="D90" s="93"/>
      <c r="E90" s="93"/>
      <c r="F90" s="93"/>
      <c r="G90" s="101">
        <f>G66-G88</f>
        <v>8254795885.0299997</v>
      </c>
      <c r="H90" s="101">
        <f>14843162877.25+757945744-4272013566-3074299170</f>
        <v>8254795885.25</v>
      </c>
      <c r="I90" s="104">
        <f>14923511-1185456</f>
        <v>13738055</v>
      </c>
      <c r="J90" s="94"/>
    </row>
    <row r="91" spans="1:10">
      <c r="A91" s="95"/>
      <c r="B91" s="93"/>
      <c r="C91" s="93"/>
      <c r="D91" s="93"/>
      <c r="E91" s="93"/>
      <c r="F91" s="93"/>
      <c r="G91" s="93"/>
      <c r="H91" s="104" t="s">
        <v>228</v>
      </c>
      <c r="I91" s="93"/>
      <c r="J91" s="94"/>
    </row>
    <row r="92" spans="1:10">
      <c r="A92" s="102">
        <v>19</v>
      </c>
      <c r="B92" s="98" t="s">
        <v>422</v>
      </c>
      <c r="C92" s="93"/>
      <c r="D92" s="93"/>
      <c r="E92" s="93"/>
      <c r="F92" s="93"/>
      <c r="G92" s="104">
        <v>0</v>
      </c>
      <c r="H92" s="104" t="s">
        <v>228</v>
      </c>
      <c r="I92" s="93"/>
      <c r="J92" s="94"/>
    </row>
    <row r="93" spans="1:10">
      <c r="A93" s="95"/>
      <c r="B93" s="93"/>
      <c r="C93" s="93"/>
      <c r="D93" s="93"/>
      <c r="E93" s="93"/>
      <c r="F93" s="93"/>
      <c r="G93" s="93"/>
      <c r="H93" s="93"/>
      <c r="I93" s="93"/>
      <c r="J93" s="94"/>
    </row>
    <row r="94" spans="1:10">
      <c r="A94" s="95"/>
      <c r="B94" s="93"/>
      <c r="C94" s="93"/>
      <c r="D94" s="93"/>
      <c r="E94" s="93"/>
      <c r="F94" s="93"/>
      <c r="G94" s="93"/>
      <c r="H94" s="93"/>
      <c r="I94" s="93"/>
      <c r="J94" s="94"/>
    </row>
    <row r="95" spans="1:10">
      <c r="A95" s="99" t="s">
        <v>423</v>
      </c>
      <c r="B95" s="105" t="s">
        <v>424</v>
      </c>
      <c r="C95" s="93"/>
      <c r="D95" s="93"/>
      <c r="E95" s="93"/>
      <c r="F95" s="93"/>
      <c r="G95" s="93"/>
      <c r="H95" s="93"/>
      <c r="I95" s="93"/>
      <c r="J95" s="94"/>
    </row>
    <row r="96" spans="1:10">
      <c r="A96" s="102">
        <v>20</v>
      </c>
      <c r="B96" s="98" t="s">
        <v>425</v>
      </c>
      <c r="C96" s="93"/>
      <c r="D96" s="93"/>
      <c r="E96" s="93"/>
      <c r="F96" s="93"/>
      <c r="G96" s="93"/>
      <c r="H96" s="93"/>
      <c r="I96" s="93"/>
      <c r="J96" s="94"/>
    </row>
    <row r="97" spans="1:10">
      <c r="A97" s="95"/>
      <c r="B97" s="98" t="s">
        <v>426</v>
      </c>
      <c r="C97" s="93"/>
      <c r="D97" s="93"/>
      <c r="E97" s="93"/>
      <c r="F97" s="93"/>
      <c r="G97" s="101">
        <v>1247971817</v>
      </c>
      <c r="H97" s="93"/>
      <c r="I97" s="93"/>
      <c r="J97" s="94"/>
    </row>
    <row r="98" spans="1:10">
      <c r="A98" s="95"/>
      <c r="B98" s="98" t="s">
        <v>427</v>
      </c>
      <c r="C98" s="93"/>
      <c r="D98" s="93"/>
      <c r="E98" s="93"/>
      <c r="F98" s="93"/>
      <c r="G98" s="101">
        <v>6998955532</v>
      </c>
      <c r="H98" s="93"/>
      <c r="I98" s="93"/>
      <c r="J98" s="94"/>
    </row>
    <row r="99" spans="1:10">
      <c r="A99" s="95"/>
      <c r="B99" s="98"/>
      <c r="C99" s="93"/>
      <c r="D99" s="93"/>
      <c r="E99" s="93"/>
      <c r="F99" s="93"/>
      <c r="G99" s="101">
        <f>SUM(G97:G98)</f>
        <v>8246927349</v>
      </c>
      <c r="H99" s="93"/>
      <c r="I99" s="93"/>
      <c r="J99" s="94"/>
    </row>
    <row r="100" spans="1:10">
      <c r="A100" s="95"/>
      <c r="B100" s="93"/>
      <c r="C100" s="93"/>
      <c r="D100" s="93"/>
      <c r="E100" s="93"/>
      <c r="F100" s="93"/>
      <c r="G100" s="101"/>
      <c r="H100" s="93"/>
      <c r="I100" s="93"/>
      <c r="J100" s="94"/>
    </row>
    <row r="101" spans="1:10">
      <c r="A101" s="102">
        <v>21</v>
      </c>
      <c r="B101" s="98" t="s">
        <v>428</v>
      </c>
      <c r="C101" s="93"/>
      <c r="D101" s="93"/>
      <c r="E101" s="93"/>
      <c r="F101" s="93"/>
      <c r="G101" s="108">
        <v>0</v>
      </c>
      <c r="H101" s="93"/>
      <c r="I101" s="93"/>
      <c r="J101" s="94"/>
    </row>
    <row r="102" spans="1:10">
      <c r="A102" s="95"/>
      <c r="B102" s="93"/>
      <c r="C102" s="93"/>
      <c r="D102" s="93"/>
      <c r="E102" s="93"/>
      <c r="F102" s="93"/>
      <c r="G102" s="93"/>
      <c r="H102" s="93"/>
      <c r="I102" s="93"/>
      <c r="J102" s="94"/>
    </row>
    <row r="103" spans="1:10">
      <c r="A103" s="102">
        <v>22</v>
      </c>
      <c r="B103" s="98" t="s">
        <v>429</v>
      </c>
      <c r="C103" s="93"/>
      <c r="D103" s="93"/>
      <c r="E103" s="93"/>
      <c r="F103" s="93"/>
      <c r="G103" s="101"/>
      <c r="H103" s="93"/>
      <c r="I103" s="93"/>
      <c r="J103" s="94"/>
    </row>
    <row r="104" spans="1:10">
      <c r="A104" s="95"/>
      <c r="B104" s="98" t="s">
        <v>133</v>
      </c>
      <c r="C104" s="93"/>
      <c r="D104" s="93"/>
      <c r="E104" s="93"/>
      <c r="F104" s="93"/>
      <c r="G104" s="101">
        <f>247745533.59+5473460</f>
        <v>253218993.59</v>
      </c>
      <c r="H104" s="93"/>
      <c r="I104" s="93"/>
      <c r="J104" s="94"/>
    </row>
    <row r="105" spans="1:10">
      <c r="A105" s="95"/>
      <c r="B105" s="98" t="s">
        <v>430</v>
      </c>
      <c r="C105" s="93"/>
      <c r="D105" s="93"/>
      <c r="E105" s="93"/>
      <c r="F105" s="93"/>
      <c r="G105" s="101">
        <v>1010187309.83</v>
      </c>
      <c r="H105" s="93"/>
      <c r="I105" s="93"/>
      <c r="J105" s="94"/>
    </row>
    <row r="106" spans="1:10">
      <c r="A106" s="95"/>
      <c r="B106" s="98"/>
      <c r="C106" s="93"/>
      <c r="D106" s="93"/>
      <c r="E106" s="93"/>
      <c r="F106" s="93"/>
      <c r="G106" s="101">
        <f>G104+G105</f>
        <v>1263406303.4200001</v>
      </c>
      <c r="H106" s="93"/>
      <c r="I106" s="93"/>
      <c r="J106" s="94"/>
    </row>
    <row r="107" spans="1:10">
      <c r="A107" s="95"/>
      <c r="B107" s="93"/>
      <c r="C107" s="93"/>
      <c r="D107" s="93"/>
      <c r="E107" s="93"/>
      <c r="F107" s="93"/>
      <c r="G107" s="101"/>
      <c r="H107" s="93"/>
      <c r="I107" s="93"/>
      <c r="J107" s="94"/>
    </row>
    <row r="108" spans="1:10">
      <c r="A108" s="102">
        <v>23</v>
      </c>
      <c r="B108" s="98" t="s">
        <v>431</v>
      </c>
      <c r="C108" s="93"/>
      <c r="D108" s="93"/>
      <c r="E108" s="93"/>
      <c r="F108" s="93"/>
      <c r="G108" s="101">
        <v>0</v>
      </c>
      <c r="H108" s="93"/>
      <c r="I108" s="93"/>
      <c r="J108" s="94"/>
    </row>
    <row r="109" spans="1:10">
      <c r="A109" s="95"/>
      <c r="B109" s="93"/>
      <c r="C109" s="93"/>
      <c r="D109" s="93"/>
      <c r="E109" s="93"/>
      <c r="F109" s="93"/>
      <c r="G109" s="101"/>
      <c r="H109" s="93"/>
      <c r="I109" s="93"/>
      <c r="J109" s="94"/>
    </row>
    <row r="110" spans="1:10">
      <c r="A110" s="102">
        <v>24</v>
      </c>
      <c r="B110" s="98" t="s">
        <v>432</v>
      </c>
      <c r="C110" s="93"/>
      <c r="D110" s="93"/>
      <c r="E110" s="93"/>
      <c r="F110" s="93"/>
      <c r="G110" s="101"/>
      <c r="H110" s="93"/>
      <c r="I110" s="93"/>
      <c r="J110" s="94"/>
    </row>
    <row r="111" spans="1:10">
      <c r="A111" s="95"/>
      <c r="B111" s="98" t="s">
        <v>132</v>
      </c>
      <c r="C111" s="93"/>
      <c r="D111" s="93"/>
      <c r="E111" s="93"/>
      <c r="F111" s="93"/>
      <c r="G111" s="101">
        <v>14640116</v>
      </c>
      <c r="H111" s="93"/>
      <c r="I111" s="93"/>
      <c r="J111" s="94"/>
    </row>
    <row r="112" spans="1:10">
      <c r="A112" s="95"/>
      <c r="B112" s="98" t="s">
        <v>187</v>
      </c>
      <c r="C112" s="93"/>
      <c r="D112" s="93"/>
      <c r="E112" s="93"/>
      <c r="F112" s="93"/>
      <c r="G112" s="101">
        <v>4113360</v>
      </c>
      <c r="H112" s="93"/>
      <c r="I112" s="93"/>
      <c r="J112" s="94"/>
    </row>
    <row r="113" spans="1:10">
      <c r="A113" s="95"/>
      <c r="B113" s="98" t="s">
        <v>179</v>
      </c>
      <c r="C113" s="93"/>
      <c r="D113" s="93"/>
      <c r="E113" s="93"/>
      <c r="F113" s="93"/>
      <c r="G113" s="101">
        <v>33600000</v>
      </c>
      <c r="H113" s="93"/>
      <c r="I113" s="93"/>
      <c r="J113" s="94"/>
    </row>
    <row r="114" spans="1:10">
      <c r="A114" s="95"/>
      <c r="B114" s="98" t="s">
        <v>433</v>
      </c>
      <c r="C114" s="93"/>
      <c r="D114" s="93"/>
      <c r="E114" s="93"/>
      <c r="F114" s="93"/>
      <c r="G114" s="101">
        <v>86328221</v>
      </c>
      <c r="H114" s="93"/>
      <c r="I114" s="93"/>
      <c r="J114" s="94"/>
    </row>
    <row r="115" spans="1:10">
      <c r="A115" s="95"/>
      <c r="B115" s="98" t="s">
        <v>203</v>
      </c>
      <c r="C115" s="93"/>
      <c r="D115" s="93"/>
      <c r="E115" s="93"/>
      <c r="F115" s="93"/>
      <c r="G115" s="101">
        <f>403381290.7</f>
        <v>403381290.69999999</v>
      </c>
      <c r="H115" s="93"/>
      <c r="I115" s="103">
        <f>G114+G115</f>
        <v>489709511.69999999</v>
      </c>
      <c r="J115" s="94"/>
    </row>
    <row r="116" spans="1:10">
      <c r="A116" s="95"/>
      <c r="B116" s="93"/>
      <c r="C116" s="93"/>
      <c r="D116" s="93"/>
      <c r="E116" s="93"/>
      <c r="F116" s="93"/>
      <c r="G116" s="101">
        <f>SUM(G111:G115)</f>
        <v>542062987.70000005</v>
      </c>
      <c r="H116" s="93"/>
      <c r="I116" s="93"/>
      <c r="J116" s="94"/>
    </row>
    <row r="117" spans="1:10">
      <c r="A117" s="95"/>
      <c r="B117" s="93"/>
      <c r="C117" s="93"/>
      <c r="D117" s="93"/>
      <c r="E117" s="93"/>
      <c r="F117" s="93"/>
      <c r="G117" s="93"/>
      <c r="H117" s="93"/>
      <c r="I117" s="93"/>
      <c r="J117" s="94"/>
    </row>
    <row r="118" spans="1:10">
      <c r="A118" s="102">
        <v>25</v>
      </c>
      <c r="B118" s="105" t="s">
        <v>434</v>
      </c>
      <c r="C118" s="93"/>
      <c r="D118" s="93"/>
      <c r="E118" s="93"/>
      <c r="F118" s="93"/>
      <c r="G118" s="106">
        <f>G99+G101+G106+G108+G116</f>
        <v>10052396640.120001</v>
      </c>
      <c r="H118" s="103">
        <f>9424937272+402735413+224723955</f>
        <v>10052396640</v>
      </c>
      <c r="I118" s="93"/>
      <c r="J118" s="94"/>
    </row>
    <row r="119" spans="1:10">
      <c r="A119" s="95"/>
      <c r="B119" s="93"/>
      <c r="C119" s="93"/>
      <c r="D119" s="93"/>
      <c r="E119" s="93"/>
      <c r="F119" s="93"/>
      <c r="G119" s="93"/>
      <c r="H119" s="93"/>
      <c r="I119" s="93"/>
      <c r="J119" s="94"/>
    </row>
    <row r="120" spans="1:10">
      <c r="A120" s="102">
        <v>26</v>
      </c>
      <c r="B120" s="98" t="s">
        <v>435</v>
      </c>
      <c r="C120" s="93"/>
      <c r="D120" s="93"/>
      <c r="E120" s="93"/>
      <c r="F120" s="93"/>
      <c r="G120" s="109">
        <v>224723955</v>
      </c>
      <c r="H120" s="93"/>
      <c r="I120" s="93"/>
      <c r="J120" s="94"/>
    </row>
    <row r="121" spans="1:10">
      <c r="A121" s="95"/>
      <c r="B121" s="93"/>
      <c r="C121" s="93"/>
      <c r="D121" s="93"/>
      <c r="E121" s="93"/>
      <c r="F121" s="93"/>
      <c r="G121" s="93"/>
      <c r="H121" s="93"/>
      <c r="I121" s="93"/>
      <c r="J121" s="94"/>
    </row>
    <row r="122" spans="1:10">
      <c r="A122" s="95"/>
      <c r="B122" s="98" t="s">
        <v>436</v>
      </c>
      <c r="C122" s="93"/>
      <c r="D122" s="93"/>
      <c r="E122" s="93"/>
      <c r="F122" s="93"/>
      <c r="G122" s="93"/>
      <c r="H122" s="93"/>
      <c r="I122" s="93"/>
      <c r="J122" s="94"/>
    </row>
    <row r="123" spans="1:10">
      <c r="A123" s="95"/>
      <c r="B123" s="98" t="s">
        <v>437</v>
      </c>
      <c r="C123" s="93"/>
      <c r="D123" s="93"/>
      <c r="E123" s="93"/>
      <c r="F123" s="93"/>
      <c r="G123" s="93"/>
      <c r="H123" s="93"/>
      <c r="I123" s="93"/>
      <c r="J123" s="94"/>
    </row>
    <row r="124" spans="1:10">
      <c r="A124" s="95"/>
      <c r="B124" s="93"/>
      <c r="C124" s="93"/>
      <c r="D124" s="93"/>
      <c r="E124" s="93"/>
      <c r="F124" s="93"/>
      <c r="G124" s="93"/>
      <c r="H124" s="93"/>
      <c r="I124" s="93"/>
      <c r="J124" s="94"/>
    </row>
    <row r="125" spans="1:10">
      <c r="A125" s="102">
        <v>27</v>
      </c>
      <c r="B125" s="98" t="s">
        <v>431</v>
      </c>
      <c r="C125" s="93"/>
      <c r="D125" s="93"/>
      <c r="E125" s="93"/>
      <c r="F125" s="93"/>
      <c r="G125" s="104">
        <v>0</v>
      </c>
      <c r="H125" s="93"/>
      <c r="I125" s="93"/>
      <c r="J125" s="94"/>
    </row>
    <row r="126" spans="1:10">
      <c r="A126" s="95"/>
      <c r="B126" s="93"/>
      <c r="C126" s="93"/>
      <c r="D126" s="93"/>
      <c r="E126" s="93"/>
      <c r="F126" s="93"/>
      <c r="G126" s="93"/>
      <c r="H126" s="93"/>
      <c r="I126" s="93"/>
      <c r="J126" s="94"/>
    </row>
    <row r="127" spans="1:10">
      <c r="A127" s="102">
        <v>28</v>
      </c>
      <c r="B127" s="98" t="s">
        <v>438</v>
      </c>
      <c r="C127" s="93"/>
      <c r="D127" s="93"/>
      <c r="E127" s="93"/>
      <c r="F127" s="93"/>
      <c r="G127" s="93"/>
      <c r="H127" s="93"/>
      <c r="I127" s="93"/>
      <c r="J127" s="94"/>
    </row>
    <row r="128" spans="1:10">
      <c r="A128" s="95"/>
      <c r="B128" s="98" t="s">
        <v>439</v>
      </c>
      <c r="C128" s="93"/>
      <c r="D128" s="93"/>
      <c r="E128" s="93"/>
      <c r="F128" s="93"/>
      <c r="G128" s="101">
        <v>0</v>
      </c>
      <c r="H128" s="93"/>
      <c r="I128" s="93"/>
      <c r="J128" s="94"/>
    </row>
    <row r="129" spans="1:10">
      <c r="A129" s="95"/>
      <c r="B129" s="93" t="s">
        <v>440</v>
      </c>
      <c r="C129" s="93"/>
      <c r="D129" s="93"/>
      <c r="E129" s="93"/>
      <c r="F129" s="93"/>
      <c r="G129" s="101" t="s">
        <v>228</v>
      </c>
      <c r="H129" s="93"/>
      <c r="I129" s="93"/>
      <c r="J129" s="94"/>
    </row>
    <row r="130" spans="1:10">
      <c r="A130" s="95"/>
      <c r="B130" s="93"/>
      <c r="C130" s="93"/>
      <c r="D130" s="93"/>
      <c r="E130" s="93"/>
      <c r="F130" s="93"/>
      <c r="G130" s="101"/>
      <c r="H130" s="93"/>
      <c r="I130" s="93"/>
      <c r="J130" s="94"/>
    </row>
    <row r="131" spans="1:10">
      <c r="A131" s="102">
        <v>29</v>
      </c>
      <c r="B131" s="105" t="s">
        <v>441</v>
      </c>
      <c r="C131" s="93"/>
      <c r="D131" s="93"/>
      <c r="E131" s="93"/>
      <c r="F131" s="93"/>
      <c r="G131" s="106" t="e">
        <f>G118-G120-G125-G128-G129</f>
        <v>#VALUE!</v>
      </c>
      <c r="H131" s="101">
        <f>9424937272+402735413</f>
        <v>9827672685</v>
      </c>
      <c r="I131" s="93"/>
      <c r="J131" s="94"/>
    </row>
    <row r="132" spans="1:10">
      <c r="A132" s="95"/>
      <c r="B132" s="93"/>
      <c r="C132" s="93"/>
      <c r="D132" s="93"/>
      <c r="E132" s="93"/>
      <c r="F132" s="93"/>
      <c r="G132" s="101"/>
      <c r="H132" s="101" t="s">
        <v>228</v>
      </c>
      <c r="I132" s="93"/>
      <c r="J132" s="94"/>
    </row>
    <row r="133" spans="1:10">
      <c r="A133" s="99" t="s">
        <v>442</v>
      </c>
      <c r="B133" s="105" t="s">
        <v>443</v>
      </c>
      <c r="C133" s="93"/>
      <c r="D133" s="93"/>
      <c r="E133" s="93"/>
      <c r="F133" s="93"/>
      <c r="G133" s="93"/>
      <c r="H133" s="93"/>
      <c r="I133" s="93"/>
      <c r="J133" s="94"/>
    </row>
    <row r="134" spans="1:10">
      <c r="A134" s="102">
        <v>30</v>
      </c>
      <c r="B134" s="98" t="s">
        <v>444</v>
      </c>
      <c r="C134" s="93"/>
      <c r="D134" s="93"/>
      <c r="E134" s="93"/>
      <c r="F134" s="93"/>
      <c r="G134" s="101">
        <f>5018421136.44+786335+47094</f>
        <v>5019254565.4399996</v>
      </c>
      <c r="H134" s="93"/>
      <c r="I134" s="93"/>
      <c r="J134" s="94"/>
    </row>
    <row r="135" spans="1:10">
      <c r="A135" s="95"/>
      <c r="B135" s="93"/>
      <c r="C135" s="93"/>
      <c r="D135" s="93"/>
      <c r="E135" s="93"/>
      <c r="F135" s="93"/>
      <c r="G135" s="93"/>
      <c r="H135" s="93"/>
      <c r="I135" s="93"/>
      <c r="J135" s="94"/>
    </row>
    <row r="136" spans="1:10">
      <c r="A136" s="102">
        <v>31</v>
      </c>
      <c r="B136" s="98" t="s">
        <v>445</v>
      </c>
      <c r="C136" s="93"/>
      <c r="D136" s="93"/>
      <c r="E136" s="93"/>
      <c r="F136" s="93"/>
      <c r="G136" s="104">
        <v>0</v>
      </c>
      <c r="H136" s="93"/>
      <c r="I136" s="93"/>
      <c r="J136" s="94"/>
    </row>
    <row r="137" spans="1:10">
      <c r="A137" s="95"/>
      <c r="B137" s="93"/>
      <c r="C137" s="93"/>
      <c r="D137" s="93"/>
      <c r="E137" s="93"/>
      <c r="F137" s="93"/>
      <c r="G137" s="93"/>
      <c r="H137" s="93"/>
      <c r="I137" s="93"/>
      <c r="J137" s="94"/>
    </row>
    <row r="138" spans="1:10">
      <c r="A138" s="102">
        <v>32</v>
      </c>
      <c r="B138" s="98" t="s">
        <v>446</v>
      </c>
      <c r="C138" s="93"/>
      <c r="D138" s="93"/>
      <c r="E138" s="93"/>
      <c r="F138" s="93"/>
      <c r="G138" s="101">
        <v>0</v>
      </c>
      <c r="H138" s="93"/>
      <c r="I138" s="93"/>
      <c r="J138" s="94"/>
    </row>
    <row r="139" spans="1:10">
      <c r="A139" s="95"/>
      <c r="B139" s="93"/>
      <c r="C139" s="93"/>
      <c r="D139" s="93"/>
      <c r="E139" s="93"/>
      <c r="F139" s="93"/>
      <c r="G139" s="101"/>
      <c r="H139" s="93"/>
      <c r="I139" s="93"/>
      <c r="J139" s="94"/>
    </row>
    <row r="140" spans="1:10">
      <c r="A140" s="102">
        <v>33</v>
      </c>
      <c r="B140" s="98" t="s">
        <v>447</v>
      </c>
      <c r="C140" s="93"/>
      <c r="D140" s="93"/>
      <c r="E140" s="93"/>
      <c r="F140" s="93"/>
      <c r="G140" s="101">
        <v>0</v>
      </c>
      <c r="H140" s="93"/>
      <c r="I140" s="93"/>
      <c r="J140" s="94"/>
    </row>
    <row r="141" spans="1:10">
      <c r="A141" s="95"/>
      <c r="B141" s="93"/>
      <c r="C141" s="93"/>
      <c r="D141" s="93"/>
      <c r="E141" s="93"/>
      <c r="F141" s="93"/>
      <c r="G141" s="93"/>
      <c r="H141" s="93"/>
      <c r="I141" s="93"/>
      <c r="J141" s="94"/>
    </row>
    <row r="142" spans="1:10">
      <c r="A142" s="102">
        <v>34</v>
      </c>
      <c r="B142" s="98" t="s">
        <v>448</v>
      </c>
      <c r="C142" s="93"/>
      <c r="D142" s="93"/>
      <c r="E142" s="93"/>
      <c r="F142" s="93"/>
      <c r="G142" s="104">
        <v>0</v>
      </c>
      <c r="H142" s="93"/>
      <c r="I142" s="93"/>
      <c r="J142" s="94"/>
    </row>
    <row r="143" spans="1:10">
      <c r="A143" s="95"/>
      <c r="B143" s="93"/>
      <c r="C143" s="93"/>
      <c r="D143" s="93"/>
      <c r="E143" s="93"/>
      <c r="F143" s="93"/>
      <c r="G143" s="93"/>
      <c r="H143" s="93"/>
      <c r="I143" s="93"/>
      <c r="J143" s="94"/>
    </row>
    <row r="144" spans="1:10">
      <c r="A144" s="102">
        <v>35</v>
      </c>
      <c r="B144" s="98" t="s">
        <v>449</v>
      </c>
      <c r="C144" s="93"/>
      <c r="D144" s="93"/>
      <c r="E144" s="93"/>
      <c r="F144" s="93"/>
      <c r="G144" s="101">
        <v>0</v>
      </c>
      <c r="H144" s="93"/>
      <c r="I144" s="93"/>
      <c r="J144" s="94"/>
    </row>
    <row r="145" spans="1:10">
      <c r="A145" s="95"/>
      <c r="B145" s="93"/>
      <c r="C145" s="93"/>
      <c r="D145" s="93"/>
      <c r="E145" s="93"/>
      <c r="F145" s="93"/>
      <c r="G145" s="93"/>
      <c r="H145" s="93"/>
      <c r="I145" s="93"/>
      <c r="J145" s="94"/>
    </row>
    <row r="146" spans="1:10">
      <c r="A146" s="102">
        <v>36</v>
      </c>
      <c r="B146" s="98" t="s">
        <v>450</v>
      </c>
      <c r="C146" s="93"/>
      <c r="D146" s="93"/>
      <c r="E146" s="93"/>
      <c r="F146" s="93"/>
      <c r="G146" s="104">
        <v>0</v>
      </c>
      <c r="H146" s="93"/>
      <c r="I146" s="93"/>
      <c r="J146" s="94"/>
    </row>
    <row r="147" spans="1:10">
      <c r="A147" s="102"/>
      <c r="B147" s="98"/>
      <c r="C147" s="93"/>
      <c r="D147" s="93"/>
      <c r="E147" s="93"/>
      <c r="F147" s="93"/>
      <c r="G147" s="104"/>
      <c r="H147" s="93"/>
      <c r="I147" s="93"/>
      <c r="J147" s="94"/>
    </row>
    <row r="148" spans="1:10">
      <c r="A148" s="102">
        <v>37</v>
      </c>
      <c r="B148" s="98" t="s">
        <v>451</v>
      </c>
      <c r="C148" s="93"/>
      <c r="D148" s="93"/>
      <c r="E148" s="93"/>
      <c r="F148" s="93"/>
      <c r="G148" s="108">
        <f>5088809361.89-5019254565</f>
        <v>69554796.890000343</v>
      </c>
      <c r="H148" s="93"/>
      <c r="I148" s="93"/>
      <c r="J148" s="94"/>
    </row>
    <row r="149" spans="1:10">
      <c r="A149" s="95"/>
      <c r="B149" s="93"/>
      <c r="C149" s="93"/>
      <c r="D149" s="93"/>
      <c r="E149" s="93"/>
      <c r="F149" s="93"/>
      <c r="G149" s="101"/>
      <c r="H149" s="93"/>
      <c r="I149" s="93"/>
      <c r="J149" s="94"/>
    </row>
    <row r="150" spans="1:10">
      <c r="A150" s="102">
        <v>38</v>
      </c>
      <c r="B150" s="105" t="s">
        <v>452</v>
      </c>
      <c r="C150" s="93"/>
      <c r="D150" s="93"/>
      <c r="E150" s="93"/>
      <c r="F150" s="93"/>
      <c r="G150" s="106">
        <f>SUM(G134:G148)</f>
        <v>5088809362.3299999</v>
      </c>
      <c r="H150" s="93"/>
      <c r="I150" s="93"/>
      <c r="J150" s="94"/>
    </row>
    <row r="151" spans="1:10">
      <c r="A151" s="95"/>
      <c r="B151" s="93"/>
      <c r="C151" s="93"/>
      <c r="D151" s="93"/>
      <c r="E151" s="93"/>
      <c r="F151" s="93"/>
      <c r="G151" s="101"/>
      <c r="H151" s="93"/>
      <c r="I151" s="93"/>
      <c r="J151" s="94"/>
    </row>
    <row r="152" spans="1:10">
      <c r="A152" s="95"/>
      <c r="B152" s="93"/>
      <c r="C152" s="93"/>
      <c r="D152" s="93"/>
      <c r="E152" s="93"/>
      <c r="F152" s="93"/>
      <c r="G152" s="101"/>
      <c r="H152" s="93"/>
      <c r="I152" s="93"/>
      <c r="J152" s="94"/>
    </row>
    <row r="153" spans="1:10">
      <c r="A153" s="99" t="s">
        <v>453</v>
      </c>
      <c r="B153" s="105" t="s">
        <v>454</v>
      </c>
      <c r="C153" s="93"/>
      <c r="D153" s="93"/>
      <c r="E153" s="93"/>
      <c r="F153" s="93"/>
      <c r="G153" s="93"/>
      <c r="H153" s="93"/>
      <c r="I153" s="93"/>
      <c r="J153" s="94"/>
    </row>
    <row r="154" spans="1:10">
      <c r="A154" s="102">
        <v>39</v>
      </c>
      <c r="B154" s="98" t="s">
        <v>455</v>
      </c>
      <c r="C154" s="93"/>
      <c r="D154" s="93"/>
      <c r="E154" s="93"/>
      <c r="F154" s="93"/>
      <c r="G154" s="101"/>
      <c r="H154" s="93"/>
      <c r="I154" s="93"/>
      <c r="J154" s="94"/>
    </row>
    <row r="155" spans="1:10">
      <c r="A155" s="95"/>
      <c r="B155" s="98" t="s">
        <v>170</v>
      </c>
      <c r="C155" s="93"/>
      <c r="D155" s="93"/>
      <c r="E155" s="93"/>
      <c r="F155" s="93"/>
      <c r="G155" s="101">
        <f>226618329+113171750</f>
        <v>339790079</v>
      </c>
      <c r="H155" s="93"/>
      <c r="I155" s="93"/>
      <c r="J155" s="94"/>
    </row>
    <row r="156" spans="1:10">
      <c r="A156" s="95"/>
      <c r="B156" s="98" t="s">
        <v>224</v>
      </c>
      <c r="C156" s="93"/>
      <c r="D156" s="93"/>
      <c r="E156" s="93"/>
      <c r="F156" s="101"/>
      <c r="G156" s="101">
        <f>5854577+14052260</f>
        <v>19906837</v>
      </c>
      <c r="H156" s="93"/>
      <c r="I156" s="93"/>
      <c r="J156" s="94"/>
    </row>
    <row r="157" spans="1:10">
      <c r="A157" s="95"/>
      <c r="B157" s="98"/>
      <c r="C157" s="93"/>
      <c r="D157" s="93"/>
      <c r="E157" s="93"/>
      <c r="F157" s="93"/>
      <c r="G157" s="101">
        <f>G155+G156</f>
        <v>359696916</v>
      </c>
      <c r="H157" s="93"/>
      <c r="I157" s="93"/>
      <c r="J157" s="94"/>
    </row>
    <row r="158" spans="1:10">
      <c r="A158" s="95"/>
      <c r="B158" s="93"/>
      <c r="C158" s="93"/>
      <c r="D158" s="93"/>
      <c r="E158" s="93"/>
      <c r="F158" s="93"/>
      <c r="G158" s="93"/>
      <c r="H158" s="93"/>
      <c r="I158" s="93"/>
      <c r="J158" s="94"/>
    </row>
    <row r="159" spans="1:10">
      <c r="A159" s="102">
        <v>40</v>
      </c>
      <c r="B159" s="98" t="s">
        <v>456</v>
      </c>
      <c r="C159" s="93"/>
      <c r="D159" s="93"/>
      <c r="E159" s="93"/>
      <c r="F159" s="93"/>
      <c r="G159" s="93"/>
      <c r="H159" s="93"/>
      <c r="I159" s="93"/>
      <c r="J159" s="94"/>
    </row>
    <row r="160" spans="1:10">
      <c r="A160" s="95"/>
      <c r="B160" s="98" t="s">
        <v>457</v>
      </c>
      <c r="C160" s="93"/>
      <c r="D160" s="93"/>
      <c r="E160" s="93"/>
      <c r="F160" s="93"/>
      <c r="G160" s="93"/>
      <c r="H160" s="93"/>
      <c r="I160" s="93"/>
      <c r="J160" s="94"/>
    </row>
    <row r="161" spans="1:10">
      <c r="A161" s="95"/>
      <c r="B161" s="98" t="s">
        <v>153</v>
      </c>
      <c r="C161" s="93"/>
      <c r="D161" s="93"/>
      <c r="E161" s="93"/>
      <c r="F161" s="93"/>
      <c r="G161" s="101">
        <f>245896490+35304450</f>
        <v>281200940</v>
      </c>
      <c r="H161" s="93"/>
      <c r="I161" s="93"/>
      <c r="J161" s="94"/>
    </row>
    <row r="162" spans="1:10">
      <c r="A162" s="95"/>
      <c r="B162" s="98" t="s">
        <v>152</v>
      </c>
      <c r="C162" s="93"/>
      <c r="D162" s="93"/>
      <c r="E162" s="93"/>
      <c r="F162" s="93"/>
      <c r="G162" s="101">
        <f>109095483+29757200</f>
        <v>138852683</v>
      </c>
      <c r="H162" s="93"/>
      <c r="I162" s="93"/>
      <c r="J162" s="94"/>
    </row>
    <row r="163" spans="1:10">
      <c r="A163" s="95"/>
      <c r="B163" s="98" t="s">
        <v>154</v>
      </c>
      <c r="C163" s="93"/>
      <c r="D163" s="93"/>
      <c r="E163" s="93"/>
      <c r="F163" s="93"/>
      <c r="G163" s="101">
        <f>4540244+240499</f>
        <v>4780743</v>
      </c>
      <c r="H163" s="93"/>
      <c r="I163" s="93"/>
      <c r="J163" s="94"/>
    </row>
    <row r="164" spans="1:10">
      <c r="A164" s="95"/>
      <c r="B164" s="98" t="s">
        <v>155</v>
      </c>
      <c r="C164" s="93"/>
      <c r="D164" s="93"/>
      <c r="E164" s="93"/>
      <c r="F164" s="93"/>
      <c r="G164" s="101">
        <f>272036+32082</f>
        <v>304118</v>
      </c>
      <c r="H164" s="93"/>
      <c r="I164" s="93"/>
      <c r="J164" s="94"/>
    </row>
    <row r="165" spans="1:10">
      <c r="A165" s="95"/>
      <c r="B165" s="98" t="s">
        <v>156</v>
      </c>
      <c r="C165" s="93"/>
      <c r="D165" s="93"/>
      <c r="E165" s="93"/>
      <c r="F165" s="93"/>
      <c r="G165" s="101">
        <f>305510+117979</f>
        <v>423489</v>
      </c>
      <c r="H165" s="93"/>
      <c r="I165" s="93"/>
      <c r="J165" s="94"/>
    </row>
    <row r="166" spans="1:10">
      <c r="A166" s="95"/>
      <c r="B166" s="98" t="s">
        <v>157</v>
      </c>
      <c r="C166" s="93"/>
      <c r="D166" s="93"/>
      <c r="E166" s="93"/>
      <c r="F166" s="93"/>
      <c r="G166" s="101">
        <f>103268441+4813972</f>
        <v>108082413</v>
      </c>
      <c r="H166" s="93"/>
      <c r="I166" s="93"/>
      <c r="J166" s="94"/>
    </row>
    <row r="167" spans="1:10">
      <c r="A167" s="95"/>
      <c r="B167" s="98" t="s">
        <v>83</v>
      </c>
      <c r="C167" s="93"/>
      <c r="D167" s="93"/>
      <c r="E167" s="93"/>
      <c r="F167" s="93"/>
      <c r="G167" s="101">
        <f>29985491+627490</f>
        <v>30612981</v>
      </c>
      <c r="H167" s="93"/>
      <c r="I167" s="93"/>
      <c r="J167" s="94"/>
    </row>
    <row r="168" spans="1:10">
      <c r="A168" s="95"/>
      <c r="B168" s="98" t="s">
        <v>84</v>
      </c>
      <c r="C168" s="93"/>
      <c r="D168" s="93"/>
      <c r="E168" s="93"/>
      <c r="F168" s="93"/>
      <c r="G168" s="101">
        <f>20144022+3304759</f>
        <v>23448781</v>
      </c>
      <c r="H168" s="93"/>
      <c r="I168" s="93"/>
      <c r="J168" s="94"/>
    </row>
    <row r="169" spans="1:10">
      <c r="A169" s="95"/>
      <c r="B169" s="98" t="s">
        <v>85</v>
      </c>
      <c r="C169" s="93"/>
      <c r="D169" s="93"/>
      <c r="E169" s="93"/>
      <c r="F169" s="93"/>
      <c r="G169" s="101">
        <f>19466002+4418796</f>
        <v>23884798</v>
      </c>
      <c r="H169" s="93"/>
      <c r="I169" s="93"/>
      <c r="J169" s="94"/>
    </row>
    <row r="170" spans="1:10">
      <c r="A170" s="95"/>
      <c r="B170" s="98" t="s">
        <v>159</v>
      </c>
      <c r="C170" s="93"/>
      <c r="D170" s="93"/>
      <c r="E170" s="93"/>
      <c r="F170" s="93"/>
      <c r="G170" s="101">
        <f>143523400+21421000</f>
        <v>164944400</v>
      </c>
      <c r="H170" s="93"/>
      <c r="I170" s="93"/>
      <c r="J170" s="94"/>
    </row>
    <row r="171" spans="1:10">
      <c r="A171" s="95"/>
      <c r="B171" s="98" t="s">
        <v>458</v>
      </c>
      <c r="C171" s="93"/>
      <c r="D171" s="93"/>
      <c r="E171" s="93"/>
      <c r="F171" s="93"/>
      <c r="G171" s="101">
        <v>0</v>
      </c>
      <c r="H171" s="93"/>
      <c r="I171" s="93"/>
      <c r="J171" s="94"/>
    </row>
    <row r="172" spans="1:10">
      <c r="A172" s="95"/>
      <c r="B172" s="98" t="s">
        <v>459</v>
      </c>
      <c r="C172" s="93"/>
      <c r="D172" s="93"/>
      <c r="E172" s="93"/>
      <c r="F172" s="93"/>
      <c r="G172" s="101">
        <v>16846915</v>
      </c>
      <c r="H172" s="93"/>
      <c r="I172" s="93"/>
      <c r="J172" s="94"/>
    </row>
    <row r="173" spans="1:10">
      <c r="A173" s="95"/>
      <c r="B173" s="98" t="s">
        <v>160</v>
      </c>
      <c r="C173" s="93"/>
      <c r="D173" s="93"/>
      <c r="E173" s="93"/>
      <c r="F173" s="93"/>
      <c r="G173" s="101">
        <f>1019739+130435</f>
        <v>1150174</v>
      </c>
      <c r="H173" s="93"/>
      <c r="I173" s="93"/>
      <c r="J173" s="94"/>
    </row>
    <row r="174" spans="1:10">
      <c r="A174" s="95"/>
      <c r="B174" s="98" t="s">
        <v>460</v>
      </c>
      <c r="C174" s="93"/>
      <c r="D174" s="93"/>
      <c r="E174" s="93"/>
      <c r="F174" s="93"/>
      <c r="G174" s="101">
        <f>65611483+4569896+125385</f>
        <v>70306764</v>
      </c>
      <c r="H174" s="93"/>
      <c r="I174" s="93"/>
      <c r="J174" s="94"/>
    </row>
    <row r="175" spans="1:10">
      <c r="A175" s="95"/>
      <c r="B175" s="98" t="s">
        <v>461</v>
      </c>
      <c r="C175" s="93"/>
      <c r="D175" s="93"/>
      <c r="E175" s="93"/>
      <c r="F175" s="93"/>
      <c r="G175" s="101">
        <f>6473370+21824404+1375777+4673407</f>
        <v>34346958</v>
      </c>
      <c r="H175" s="93"/>
      <c r="I175" s="93"/>
      <c r="J175" s="94"/>
    </row>
    <row r="176" spans="1:10">
      <c r="A176" s="95"/>
      <c r="B176" s="98" t="s">
        <v>462</v>
      </c>
      <c r="C176" s="93"/>
      <c r="D176" s="93"/>
      <c r="E176" s="93"/>
      <c r="F176" s="93"/>
      <c r="G176" s="101">
        <f>27914940+5914782</f>
        <v>33829722</v>
      </c>
      <c r="H176" s="93"/>
      <c r="I176" s="93"/>
      <c r="J176" s="94"/>
    </row>
    <row r="177" spans="1:10">
      <c r="A177" s="95"/>
      <c r="B177" s="98" t="s">
        <v>463</v>
      </c>
      <c r="C177" s="93"/>
      <c r="D177" s="93"/>
      <c r="E177" s="93"/>
      <c r="F177" s="93"/>
      <c r="G177" s="101">
        <f>13544131+2368267</f>
        <v>15912398</v>
      </c>
      <c r="H177" s="93"/>
      <c r="I177" s="93"/>
      <c r="J177" s="94"/>
    </row>
    <row r="178" spans="1:10">
      <c r="A178" s="95"/>
      <c r="B178" s="98" t="s">
        <v>464</v>
      </c>
      <c r="C178" s="93"/>
      <c r="D178" s="93"/>
      <c r="E178" s="93"/>
      <c r="F178" s="93"/>
      <c r="G178" s="101">
        <f>10158105+1776212</f>
        <v>11934317</v>
      </c>
      <c r="H178" s="93"/>
      <c r="I178" s="93"/>
      <c r="J178" s="94"/>
    </row>
    <row r="179" spans="1:10">
      <c r="A179" s="95"/>
      <c r="B179" s="98" t="s">
        <v>465</v>
      </c>
      <c r="C179" s="93"/>
      <c r="D179" s="93"/>
      <c r="E179" s="93"/>
      <c r="F179" s="93"/>
      <c r="G179" s="101">
        <f>6772071+1184136</f>
        <v>7956207</v>
      </c>
      <c r="H179" s="93"/>
      <c r="I179" s="93"/>
      <c r="J179" s="94"/>
    </row>
    <row r="180" spans="1:10">
      <c r="A180" s="95"/>
      <c r="B180" s="98" t="s">
        <v>167</v>
      </c>
      <c r="C180" s="93"/>
      <c r="D180" s="93"/>
      <c r="E180" s="93"/>
      <c r="F180" s="93"/>
      <c r="G180" s="101">
        <f>365318+21000</f>
        <v>386318</v>
      </c>
      <c r="H180" s="93"/>
      <c r="I180" s="93"/>
      <c r="J180" s="94"/>
    </row>
    <row r="181" spans="1:10">
      <c r="A181" s="95"/>
      <c r="B181" s="98"/>
      <c r="C181" s="93"/>
      <c r="D181" s="93"/>
      <c r="E181" s="93"/>
      <c r="F181" s="93"/>
      <c r="G181" s="101">
        <f>SUM(G161:G180)</f>
        <v>969205119</v>
      </c>
      <c r="H181" s="103">
        <f>847152980+122052139-G181</f>
        <v>0</v>
      </c>
      <c r="I181" s="93"/>
      <c r="J181" s="94"/>
    </row>
    <row r="182" spans="1:10">
      <c r="A182" s="95"/>
      <c r="B182" s="93"/>
      <c r="C182" s="93"/>
      <c r="D182" s="93"/>
      <c r="E182" s="93"/>
      <c r="F182" s="93"/>
      <c r="G182" s="101"/>
      <c r="H182" s="93"/>
      <c r="I182" s="93"/>
      <c r="J182" s="94"/>
    </row>
    <row r="183" spans="1:10">
      <c r="A183" s="95"/>
      <c r="B183" s="93"/>
      <c r="C183" s="93"/>
      <c r="D183" s="93"/>
      <c r="E183" s="93"/>
      <c r="F183" s="93"/>
      <c r="G183" s="93"/>
      <c r="H183" s="93"/>
      <c r="I183" s="93"/>
      <c r="J183" s="94"/>
    </row>
    <row r="184" spans="1:10">
      <c r="A184" s="102">
        <v>41</v>
      </c>
      <c r="B184" s="98" t="s">
        <v>466</v>
      </c>
      <c r="C184" s="93"/>
      <c r="D184" s="93"/>
      <c r="E184" s="93"/>
      <c r="F184" s="93"/>
      <c r="G184" s="101"/>
      <c r="H184" s="93"/>
      <c r="I184" s="93"/>
      <c r="J184" s="94"/>
    </row>
    <row r="185" spans="1:10">
      <c r="A185" s="95"/>
      <c r="B185" s="98" t="s">
        <v>328</v>
      </c>
      <c r="C185" s="93"/>
      <c r="D185" s="93"/>
      <c r="E185" s="93"/>
      <c r="F185" s="93"/>
      <c r="G185" s="101">
        <f>36086731-69728+1110.63</f>
        <v>36018113.630000003</v>
      </c>
      <c r="H185" s="93"/>
      <c r="I185" s="93">
        <f>8058837+14362713+2315055-8327813-16408792</f>
        <v>0</v>
      </c>
      <c r="J185" s="94"/>
    </row>
    <row r="186" spans="1:10">
      <c r="A186" s="95"/>
      <c r="B186" s="98" t="s">
        <v>224</v>
      </c>
      <c r="C186" s="93"/>
      <c r="D186" s="93"/>
      <c r="E186" s="93"/>
      <c r="F186" s="93"/>
      <c r="G186" s="101">
        <f>17739632.5-171931-4062381-150893-86951</f>
        <v>13267476.5</v>
      </c>
      <c r="H186" s="93"/>
      <c r="I186" s="93">
        <f>187380+173124-360504</f>
        <v>0</v>
      </c>
      <c r="J186" s="94"/>
    </row>
    <row r="187" spans="1:10">
      <c r="A187" s="95"/>
      <c r="B187" s="98" t="s">
        <v>467</v>
      </c>
      <c r="C187" s="93"/>
      <c r="D187" s="93"/>
      <c r="E187" s="93"/>
      <c r="F187" s="93"/>
      <c r="G187" s="101">
        <v>165234759.84999999</v>
      </c>
      <c r="H187" s="93"/>
      <c r="I187" s="93"/>
      <c r="J187" s="94"/>
    </row>
    <row r="188" spans="1:10">
      <c r="A188" s="95"/>
      <c r="B188" s="98"/>
      <c r="C188" s="93"/>
      <c r="D188" s="93"/>
      <c r="E188" s="93"/>
      <c r="F188" s="93"/>
      <c r="G188" s="101">
        <f>SUM(G185:G187)</f>
        <v>214520349.97999999</v>
      </c>
      <c r="H188" s="93"/>
      <c r="I188" s="93"/>
      <c r="J188" s="94"/>
    </row>
    <row r="189" spans="1:10">
      <c r="A189" s="95"/>
      <c r="B189" s="93"/>
      <c r="C189" s="93"/>
      <c r="D189" s="93"/>
      <c r="E189" s="93"/>
      <c r="F189" s="93" t="s">
        <v>228</v>
      </c>
      <c r="G189" s="101"/>
      <c r="H189" s="93"/>
      <c r="I189" s="93"/>
      <c r="J189" s="94"/>
    </row>
    <row r="190" spans="1:10">
      <c r="A190" s="95"/>
      <c r="B190" s="93"/>
      <c r="C190" s="93"/>
      <c r="D190" s="93"/>
      <c r="E190" s="93"/>
      <c r="F190" s="93" t="s">
        <v>228</v>
      </c>
      <c r="G190" s="93"/>
      <c r="H190" s="93"/>
      <c r="I190" s="93"/>
      <c r="J190" s="94"/>
    </row>
    <row r="191" spans="1:10">
      <c r="A191" s="102">
        <v>42</v>
      </c>
      <c r="B191" s="98" t="s">
        <v>468</v>
      </c>
      <c r="C191" s="93"/>
      <c r="D191" s="93"/>
      <c r="E191" s="93"/>
      <c r="F191" s="93"/>
      <c r="G191" s="101"/>
      <c r="H191" s="93"/>
      <c r="I191" s="93"/>
      <c r="J191" s="94"/>
    </row>
    <row r="192" spans="1:10">
      <c r="A192" s="95"/>
      <c r="B192" s="98" t="s">
        <v>469</v>
      </c>
      <c r="C192" s="93"/>
      <c r="D192" s="93"/>
      <c r="E192" s="93"/>
      <c r="F192" s="93"/>
      <c r="G192" s="101">
        <f>130582751+531554097+22129869</f>
        <v>684266717</v>
      </c>
      <c r="H192" s="103">
        <f>G156+G192</f>
        <v>704173554</v>
      </c>
      <c r="I192" s="103">
        <f>513459541-G156</f>
        <v>493552704</v>
      </c>
      <c r="J192" s="94"/>
    </row>
    <row r="193" spans="1:10">
      <c r="A193" s="95"/>
      <c r="B193" s="98" t="s">
        <v>470</v>
      </c>
      <c r="C193" s="93"/>
      <c r="D193" s="93"/>
      <c r="E193" s="93"/>
      <c r="F193" s="93"/>
      <c r="G193" s="101">
        <f>69728+171931+4062381+150893+86951</f>
        <v>4541884</v>
      </c>
      <c r="H193" s="103">
        <f>G193+G185+G186-36086731-(17739632.5-43701-154392)-1111</f>
        <v>198092.63000000268</v>
      </c>
      <c r="I193" s="93"/>
      <c r="J193" s="94"/>
    </row>
    <row r="194" spans="1:10">
      <c r="A194" s="95"/>
      <c r="B194" s="98" t="s">
        <v>467</v>
      </c>
      <c r="C194" s="93"/>
      <c r="D194" s="93"/>
      <c r="E194" s="93"/>
      <c r="F194" s="93"/>
      <c r="G194" s="101">
        <v>0</v>
      </c>
      <c r="H194" s="93"/>
      <c r="I194" s="93"/>
      <c r="J194" s="94"/>
    </row>
    <row r="195" spans="1:10">
      <c r="A195" s="95"/>
      <c r="B195" s="93"/>
      <c r="C195" s="93"/>
      <c r="D195" s="93"/>
      <c r="E195" s="93"/>
      <c r="F195" s="93"/>
      <c r="G195" s="101">
        <f>G192+G193+G194</f>
        <v>688808601</v>
      </c>
      <c r="H195" s="103">
        <f>G188+G195-G192</f>
        <v>219062233.98000002</v>
      </c>
      <c r="I195" s="93">
        <f>579805141-11265421</f>
        <v>568539720</v>
      </c>
      <c r="J195" s="94"/>
    </row>
    <row r="196" spans="1:10">
      <c r="A196" s="95"/>
      <c r="B196" s="93"/>
      <c r="C196" s="93"/>
      <c r="D196" s="93"/>
      <c r="E196" s="93"/>
      <c r="F196" s="93"/>
      <c r="G196" s="93"/>
      <c r="H196" s="93"/>
      <c r="I196" s="93"/>
      <c r="J196" s="94"/>
    </row>
    <row r="197" spans="1:10">
      <c r="A197" s="102">
        <v>43</v>
      </c>
      <c r="B197" s="98" t="s">
        <v>471</v>
      </c>
      <c r="C197" s="93"/>
      <c r="D197" s="93"/>
      <c r="E197" s="93"/>
      <c r="F197" s="93"/>
      <c r="G197" s="101"/>
      <c r="H197" s="93"/>
      <c r="I197" s="93"/>
      <c r="J197" s="94"/>
    </row>
    <row r="198" spans="1:10">
      <c r="A198" s="95"/>
      <c r="B198" s="98" t="s">
        <v>472</v>
      </c>
      <c r="C198" s="93"/>
      <c r="D198" s="93"/>
      <c r="E198" s="93"/>
      <c r="F198" s="93"/>
      <c r="G198" s="101">
        <v>35881283.810000002</v>
      </c>
      <c r="H198" s="93"/>
      <c r="I198" s="93"/>
      <c r="J198" s="94"/>
    </row>
    <row r="199" spans="1:10">
      <c r="A199" s="95"/>
      <c r="B199" s="98" t="s">
        <v>473</v>
      </c>
      <c r="C199" s="93"/>
      <c r="D199" s="93"/>
      <c r="E199" s="93"/>
      <c r="F199" s="93"/>
      <c r="G199" s="101">
        <v>9915496</v>
      </c>
      <c r="H199" s="93"/>
      <c r="I199" s="93"/>
      <c r="J199" s="94"/>
    </row>
    <row r="200" spans="1:10">
      <c r="A200" s="95"/>
      <c r="B200" s="98"/>
      <c r="C200" s="93"/>
      <c r="D200" s="93"/>
      <c r="E200" s="93"/>
      <c r="F200" s="93"/>
      <c r="G200" s="101">
        <f>G198+G199</f>
        <v>45796779.810000002</v>
      </c>
      <c r="H200" s="93"/>
      <c r="I200" s="93"/>
      <c r="J200" s="94"/>
    </row>
    <row r="201" spans="1:10">
      <c r="A201" s="95"/>
      <c r="B201" s="93"/>
      <c r="C201" s="93"/>
      <c r="D201" s="93"/>
      <c r="E201" s="93"/>
      <c r="F201" s="93"/>
      <c r="G201" s="93"/>
      <c r="H201" s="93"/>
      <c r="I201" s="93"/>
      <c r="J201" s="94"/>
    </row>
    <row r="202" spans="1:10">
      <c r="A202" s="102">
        <v>44</v>
      </c>
      <c r="B202" s="98" t="s">
        <v>474</v>
      </c>
      <c r="C202" s="93"/>
      <c r="D202" s="93"/>
      <c r="E202" s="93"/>
      <c r="F202" s="93"/>
      <c r="G202" s="104">
        <v>0</v>
      </c>
      <c r="H202" s="93"/>
      <c r="I202" s="93"/>
      <c r="J202" s="94"/>
    </row>
    <row r="203" spans="1:10">
      <c r="A203" s="95"/>
      <c r="B203" s="93"/>
      <c r="C203" s="93"/>
      <c r="D203" s="93"/>
      <c r="E203" s="93"/>
      <c r="F203" s="93"/>
      <c r="G203" s="93"/>
      <c r="H203" s="93"/>
      <c r="I203" s="93"/>
      <c r="J203" s="94"/>
    </row>
    <row r="204" spans="1:10">
      <c r="A204" s="102">
        <v>45</v>
      </c>
      <c r="B204" s="98" t="s">
        <v>475</v>
      </c>
      <c r="C204" s="93"/>
      <c r="D204" s="93"/>
      <c r="E204" s="93"/>
      <c r="F204" s="93"/>
      <c r="G204" s="93"/>
      <c r="H204" s="93"/>
      <c r="I204" s="93"/>
      <c r="J204" s="94"/>
    </row>
    <row r="205" spans="1:10">
      <c r="A205" s="95"/>
      <c r="B205" s="98" t="s">
        <v>183</v>
      </c>
      <c r="C205" s="93"/>
      <c r="D205" s="93"/>
      <c r="E205" s="93"/>
      <c r="F205" s="93"/>
      <c r="G205" s="101">
        <f>7102921+21368934</f>
        <v>28471855</v>
      </c>
      <c r="H205" s="93"/>
      <c r="I205" s="93"/>
      <c r="J205" s="94"/>
    </row>
    <row r="206" spans="1:10">
      <c r="A206" s="95"/>
      <c r="B206" s="98" t="s">
        <v>191</v>
      </c>
      <c r="C206" s="93"/>
      <c r="D206" s="93"/>
      <c r="E206" s="93"/>
      <c r="F206" s="93"/>
      <c r="G206" s="101">
        <f>4718595+60684368</f>
        <v>65402963</v>
      </c>
      <c r="H206" s="93"/>
      <c r="I206" s="93"/>
      <c r="J206" s="94"/>
    </row>
    <row r="207" spans="1:10">
      <c r="A207" s="95"/>
      <c r="B207" s="98" t="s">
        <v>476</v>
      </c>
      <c r="C207" s="93"/>
      <c r="D207" s="93"/>
      <c r="E207" s="93"/>
      <c r="F207" s="93"/>
      <c r="G207" s="101">
        <f>24325240+1881508</f>
        <v>26206748</v>
      </c>
      <c r="H207" s="93"/>
      <c r="I207" s="93"/>
      <c r="J207" s="94"/>
    </row>
    <row r="208" spans="1:10">
      <c r="A208" s="95"/>
      <c r="B208" s="98" t="s">
        <v>196</v>
      </c>
      <c r="C208" s="93"/>
      <c r="D208" s="93"/>
      <c r="E208" s="93"/>
      <c r="F208" s="93"/>
      <c r="G208" s="101">
        <f>4600124+169509</f>
        <v>4769633</v>
      </c>
      <c r="H208" s="93"/>
      <c r="I208" s="93"/>
      <c r="J208" s="94"/>
    </row>
    <row r="209" spans="1:10">
      <c r="A209" s="95"/>
      <c r="B209" s="98" t="s">
        <v>199</v>
      </c>
      <c r="C209" s="93"/>
      <c r="D209" s="93"/>
      <c r="E209" s="93"/>
      <c r="F209" s="93"/>
      <c r="G209" s="101">
        <f>84772242+26507919</f>
        <v>111280161</v>
      </c>
      <c r="H209" s="93"/>
      <c r="I209" s="93"/>
      <c r="J209" s="94"/>
    </row>
    <row r="210" spans="1:10">
      <c r="A210" s="95"/>
      <c r="B210" s="98" t="s">
        <v>477</v>
      </c>
      <c r="C210" s="93"/>
      <c r="D210" s="93"/>
      <c r="E210" s="93"/>
      <c r="F210" s="93"/>
      <c r="G210" s="101">
        <f>2987689+81779</f>
        <v>3069468</v>
      </c>
      <c r="H210" s="93"/>
      <c r="I210" s="93"/>
      <c r="J210" s="94"/>
    </row>
    <row r="211" spans="1:10">
      <c r="A211" s="95"/>
      <c r="B211" s="98" t="s">
        <v>205</v>
      </c>
      <c r="C211" s="93"/>
      <c r="D211" s="93"/>
      <c r="E211" s="93"/>
      <c r="F211" s="93"/>
      <c r="G211" s="101">
        <v>2246280</v>
      </c>
      <c r="H211" s="93"/>
      <c r="I211" s="93"/>
      <c r="J211" s="94"/>
    </row>
    <row r="212" spans="1:10">
      <c r="A212" s="95"/>
      <c r="B212" s="98" t="s">
        <v>478</v>
      </c>
      <c r="C212" s="93"/>
      <c r="D212" s="93"/>
      <c r="E212" s="93"/>
      <c r="F212" s="93"/>
      <c r="G212" s="101">
        <f>1698332+850100</f>
        <v>2548432</v>
      </c>
      <c r="H212" s="93"/>
      <c r="I212" s="93"/>
      <c r="J212" s="94"/>
    </row>
    <row r="213" spans="1:10">
      <c r="A213" s="95"/>
      <c r="B213" s="98" t="s">
        <v>479</v>
      </c>
      <c r="C213" s="93"/>
      <c r="D213" s="93"/>
      <c r="E213" s="93"/>
      <c r="F213" s="93"/>
      <c r="G213" s="101">
        <f>6018369+1632743</f>
        <v>7651112</v>
      </c>
      <c r="H213" s="93"/>
      <c r="I213" s="93"/>
      <c r="J213" s="94"/>
    </row>
    <row r="214" spans="1:10">
      <c r="A214" s="95"/>
      <c r="B214" s="98" t="s">
        <v>210</v>
      </c>
      <c r="C214" s="93"/>
      <c r="D214" s="93"/>
      <c r="E214" s="93"/>
      <c r="F214" s="93"/>
      <c r="G214" s="101">
        <f>297098+275600</f>
        <v>572698</v>
      </c>
      <c r="H214" s="93"/>
      <c r="I214" s="93"/>
      <c r="J214" s="94"/>
    </row>
    <row r="215" spans="1:10">
      <c r="A215" s="95"/>
      <c r="B215" s="98" t="s">
        <v>207</v>
      </c>
      <c r="C215" s="93"/>
      <c r="D215" s="93"/>
      <c r="E215" s="93"/>
      <c r="F215" s="93"/>
      <c r="G215" s="101">
        <v>104828</v>
      </c>
      <c r="H215" s="93"/>
      <c r="I215" s="93"/>
      <c r="J215" s="94"/>
    </row>
    <row r="216" spans="1:10">
      <c r="A216" s="95"/>
      <c r="B216" s="98" t="s">
        <v>168</v>
      </c>
      <c r="C216" s="93"/>
      <c r="D216" s="93"/>
      <c r="E216" s="93"/>
      <c r="F216" s="93"/>
      <c r="G216" s="101">
        <f>5960689+3769163</f>
        <v>9729852</v>
      </c>
      <c r="H216" s="93"/>
      <c r="I216" s="93"/>
      <c r="J216" s="94"/>
    </row>
    <row r="217" spans="1:10">
      <c r="A217" s="95"/>
      <c r="B217" s="98" t="s">
        <v>211</v>
      </c>
      <c r="C217" s="93"/>
      <c r="D217" s="93"/>
      <c r="E217" s="93"/>
      <c r="F217" s="93"/>
      <c r="G217" s="101">
        <f>1722936+1772424</f>
        <v>3495360</v>
      </c>
      <c r="H217" s="93"/>
      <c r="I217" s="93"/>
      <c r="J217" s="94"/>
    </row>
    <row r="218" spans="1:10">
      <c r="A218" s="95"/>
      <c r="B218" s="98" t="s">
        <v>480</v>
      </c>
      <c r="C218" s="93"/>
      <c r="D218" s="93"/>
      <c r="E218" s="93"/>
      <c r="F218" s="93"/>
      <c r="G218" s="101">
        <f>1473792+3155681</f>
        <v>4629473</v>
      </c>
      <c r="H218" s="93"/>
      <c r="I218" s="93"/>
      <c r="J218" s="94"/>
    </row>
    <row r="219" spans="1:10">
      <c r="A219" s="95"/>
      <c r="B219" s="98" t="s">
        <v>212</v>
      </c>
      <c r="C219" s="93"/>
      <c r="D219" s="93"/>
      <c r="E219" s="93"/>
      <c r="F219" s="93"/>
      <c r="G219" s="101">
        <f>30400+199000</f>
        <v>229400</v>
      </c>
      <c r="H219" s="93"/>
      <c r="I219" s="93"/>
      <c r="J219" s="94"/>
    </row>
    <row r="220" spans="1:10">
      <c r="A220" s="95"/>
      <c r="B220" s="98" t="s">
        <v>481</v>
      </c>
      <c r="C220" s="93"/>
      <c r="D220" s="93"/>
      <c r="E220" s="93"/>
      <c r="F220" s="93"/>
      <c r="G220" s="101">
        <v>193591</v>
      </c>
      <c r="H220" s="93"/>
      <c r="I220" s="93"/>
      <c r="J220" s="94"/>
    </row>
    <row r="221" spans="1:10">
      <c r="A221" s="95"/>
      <c r="B221" s="98" t="s">
        <v>187</v>
      </c>
      <c r="C221" s="93"/>
      <c r="D221" s="93"/>
      <c r="E221" s="93"/>
      <c r="F221" s="93"/>
      <c r="G221" s="101">
        <f>23397215+178171601-13852722</f>
        <v>187716094</v>
      </c>
      <c r="H221" s="93"/>
      <c r="I221" s="93"/>
      <c r="J221" s="94"/>
    </row>
    <row r="222" spans="1:10">
      <c r="A222" s="95"/>
      <c r="B222" s="98" t="s">
        <v>179</v>
      </c>
      <c r="C222" s="93"/>
      <c r="D222" s="93"/>
      <c r="E222" s="93"/>
      <c r="F222" s="93"/>
      <c r="G222" s="101">
        <f>26550000+23735529</f>
        <v>50285529</v>
      </c>
      <c r="H222" s="93"/>
      <c r="I222" s="93"/>
      <c r="J222" s="94"/>
    </row>
    <row r="223" spans="1:10">
      <c r="A223" s="95"/>
      <c r="B223" s="98" t="s">
        <v>174</v>
      </c>
      <c r="C223" s="93"/>
      <c r="D223" s="93"/>
      <c r="E223" s="93"/>
      <c r="F223" s="93"/>
      <c r="G223" s="101">
        <f>15421198+175000</f>
        <v>15596198</v>
      </c>
      <c r="H223" s="93"/>
      <c r="I223" s="93"/>
      <c r="J223" s="94"/>
    </row>
    <row r="224" spans="1:10">
      <c r="A224" s="95"/>
      <c r="B224" s="98" t="s">
        <v>482</v>
      </c>
      <c r="C224" s="93"/>
      <c r="D224" s="93"/>
      <c r="E224" s="93"/>
      <c r="F224" s="93"/>
      <c r="G224" s="101">
        <f>4666000</f>
        <v>4666000</v>
      </c>
      <c r="H224" s="93"/>
      <c r="I224" s="93"/>
      <c r="J224" s="94"/>
    </row>
    <row r="225" spans="1:10">
      <c r="A225" s="95"/>
      <c r="B225" s="98" t="s">
        <v>483</v>
      </c>
      <c r="C225" s="93"/>
      <c r="D225" s="93"/>
      <c r="E225" s="93"/>
      <c r="F225" s="93"/>
      <c r="G225" s="101">
        <v>402735413</v>
      </c>
      <c r="H225" s="93"/>
      <c r="I225" s="93"/>
      <c r="J225" s="94"/>
    </row>
    <row r="226" spans="1:10">
      <c r="A226" s="95"/>
      <c r="B226" s="98" t="s">
        <v>484</v>
      </c>
      <c r="C226" s="93"/>
      <c r="D226" s="93"/>
      <c r="E226" s="93"/>
      <c r="F226" s="93"/>
      <c r="G226" s="101">
        <v>6445027</v>
      </c>
      <c r="H226" s="93"/>
      <c r="I226" s="93"/>
      <c r="J226" s="94"/>
    </row>
    <row r="227" spans="1:10">
      <c r="A227" s="95"/>
      <c r="B227" s="98" t="s">
        <v>485</v>
      </c>
      <c r="C227" s="93"/>
      <c r="D227" s="93"/>
      <c r="E227" s="93"/>
      <c r="F227" s="93"/>
      <c r="G227" s="101">
        <v>458987779</v>
      </c>
      <c r="H227" s="93"/>
      <c r="I227" s="93"/>
      <c r="J227" s="94"/>
    </row>
    <row r="228" spans="1:10">
      <c r="A228" s="95"/>
      <c r="B228" s="98" t="s">
        <v>430</v>
      </c>
      <c r="C228" s="93"/>
      <c r="D228" s="93"/>
      <c r="E228" s="93"/>
      <c r="F228" s="93"/>
      <c r="G228" s="101">
        <f>299887682.6</f>
        <v>299887682.60000002</v>
      </c>
      <c r="H228" s="93"/>
      <c r="I228" s="93"/>
      <c r="J228" s="94"/>
    </row>
    <row r="229" spans="1:10">
      <c r="A229" s="95"/>
      <c r="B229" s="98"/>
      <c r="C229" s="93"/>
      <c r="D229" s="93"/>
      <c r="E229" s="93"/>
      <c r="F229" s="93"/>
      <c r="G229" s="101">
        <f>SUM(G205:G228)</f>
        <v>1696921576.5999999</v>
      </c>
      <c r="H229" s="93"/>
      <c r="I229" s="93"/>
      <c r="J229" s="94"/>
    </row>
    <row r="230" spans="1:10">
      <c r="A230" s="95"/>
      <c r="B230" s="93"/>
      <c r="C230" s="93"/>
      <c r="D230" s="93"/>
      <c r="E230" s="93"/>
      <c r="F230" s="93"/>
      <c r="G230" s="93"/>
      <c r="H230" s="93"/>
      <c r="I230" s="93"/>
      <c r="J230" s="94"/>
    </row>
    <row r="231" spans="1:10">
      <c r="A231" s="102">
        <v>46</v>
      </c>
      <c r="B231" s="105" t="s">
        <v>486</v>
      </c>
      <c r="C231" s="93"/>
      <c r="D231" s="93"/>
      <c r="E231" s="93"/>
      <c r="F231" s="93"/>
      <c r="G231" s="106">
        <f>G157+G181+G188+G195+G200+G202+G229</f>
        <v>3974949342.3899999</v>
      </c>
      <c r="H231" s="104" t="s">
        <v>228</v>
      </c>
      <c r="I231" s="93"/>
      <c r="J231" s="94"/>
    </row>
    <row r="232" spans="1:10">
      <c r="A232" s="95"/>
      <c r="B232" s="93"/>
      <c r="C232" s="93"/>
      <c r="D232" s="93"/>
      <c r="E232" s="93"/>
      <c r="F232" s="93"/>
      <c r="G232" s="93"/>
      <c r="H232" s="93"/>
      <c r="I232" s="93"/>
      <c r="J232" s="94"/>
    </row>
    <row r="233" spans="1:10">
      <c r="A233" s="102" t="s">
        <v>228</v>
      </c>
      <c r="B233" s="105" t="s">
        <v>487</v>
      </c>
      <c r="C233" s="93"/>
      <c r="D233" s="93"/>
      <c r="E233" s="93"/>
      <c r="F233" s="93"/>
      <c r="G233" s="106">
        <f>G150+G231</f>
        <v>9063758704.7199993</v>
      </c>
      <c r="H233" s="101">
        <f>3268983036.7+5088809361.89-118785000+402735413-52387-199821-22866956.31</f>
        <v>8618623647.2800007</v>
      </c>
      <c r="I233" s="93"/>
      <c r="J233" s="94"/>
    </row>
    <row r="234" spans="1:10">
      <c r="A234" s="95"/>
      <c r="B234" s="93"/>
      <c r="C234" s="93"/>
      <c r="D234" s="93"/>
      <c r="E234" s="93"/>
      <c r="F234" s="93"/>
      <c r="G234" s="101"/>
      <c r="H234" s="101">
        <f>143652864.31-120785908</f>
        <v>22866956.310000002</v>
      </c>
      <c r="I234" s="93"/>
      <c r="J234" s="94"/>
    </row>
    <row r="235" spans="1:10">
      <c r="A235" s="95"/>
      <c r="B235" s="93"/>
      <c r="C235" s="93"/>
      <c r="D235" s="93"/>
      <c r="E235" s="93"/>
      <c r="F235" s="93"/>
      <c r="G235" s="93"/>
      <c r="H235" s="93"/>
      <c r="I235" s="93"/>
      <c r="J235" s="94"/>
    </row>
    <row r="236" spans="1:10">
      <c r="A236" s="99" t="s">
        <v>488</v>
      </c>
      <c r="B236" s="105" t="s">
        <v>489</v>
      </c>
      <c r="C236" s="93"/>
      <c r="D236" s="93"/>
      <c r="E236" s="93"/>
      <c r="F236" s="93"/>
      <c r="G236" s="93"/>
      <c r="H236" s="93"/>
      <c r="I236" s="93"/>
      <c r="J236" s="94"/>
    </row>
    <row r="237" spans="1:10">
      <c r="A237" s="102">
        <v>47</v>
      </c>
      <c r="B237" s="98" t="s">
        <v>490</v>
      </c>
      <c r="C237" s="93"/>
      <c r="D237" s="93"/>
      <c r="E237" s="93"/>
      <c r="F237" s="93"/>
      <c r="G237" s="101" t="e">
        <f>G131-G233</f>
        <v>#VALUE!</v>
      </c>
      <c r="H237" s="104" t="s">
        <v>228</v>
      </c>
      <c r="I237" s="104">
        <f>7081411-5815397</f>
        <v>1266014</v>
      </c>
      <c r="J237" s="94"/>
    </row>
    <row r="238" spans="1:10">
      <c r="A238" s="95"/>
      <c r="B238" s="93"/>
      <c r="C238" s="93"/>
      <c r="D238" s="93"/>
      <c r="E238" s="93"/>
      <c r="F238" s="93"/>
      <c r="G238" s="93"/>
      <c r="H238" s="93"/>
      <c r="I238" s="93"/>
      <c r="J238" s="94"/>
    </row>
    <row r="239" spans="1:10">
      <c r="A239" s="102">
        <v>48</v>
      </c>
      <c r="B239" s="98" t="s">
        <v>491</v>
      </c>
      <c r="C239" s="93"/>
      <c r="D239" s="93"/>
      <c r="E239" s="93"/>
      <c r="F239" s="93"/>
      <c r="G239" s="101">
        <v>0</v>
      </c>
      <c r="H239" s="93"/>
      <c r="I239" s="93"/>
      <c r="J239" s="94"/>
    </row>
    <row r="240" spans="1:10">
      <c r="A240" s="95"/>
      <c r="B240" s="93"/>
      <c r="C240" s="93"/>
      <c r="D240" s="93"/>
      <c r="E240" s="93"/>
      <c r="F240" s="93"/>
      <c r="G240" s="93"/>
      <c r="H240" s="93"/>
      <c r="I240" s="93"/>
      <c r="J240" s="94"/>
    </row>
    <row r="241" spans="1:10">
      <c r="A241" s="102">
        <v>49</v>
      </c>
      <c r="B241" s="98" t="s">
        <v>492</v>
      </c>
      <c r="C241" s="93"/>
      <c r="D241" s="93"/>
      <c r="E241" s="93"/>
      <c r="F241" s="93"/>
      <c r="G241" s="101" t="e">
        <f>G237-G239</f>
        <v>#VALUE!</v>
      </c>
      <c r="H241" s="93"/>
      <c r="I241" s="93"/>
      <c r="J241" s="94"/>
    </row>
    <row r="242" spans="1:10">
      <c r="A242" s="102"/>
      <c r="B242" s="98"/>
      <c r="C242" s="93"/>
      <c r="D242" s="93"/>
      <c r="E242" s="93"/>
      <c r="F242" s="93"/>
      <c r="G242" s="101"/>
      <c r="H242" s="93"/>
      <c r="I242" s="93"/>
      <c r="J242" s="94"/>
    </row>
    <row r="243" spans="1:10">
      <c r="A243" s="102">
        <v>50</v>
      </c>
      <c r="B243" s="98" t="s">
        <v>493</v>
      </c>
      <c r="C243" s="93"/>
      <c r="D243" s="93"/>
      <c r="E243" s="93"/>
      <c r="F243" s="93"/>
      <c r="G243" s="101">
        <v>0</v>
      </c>
      <c r="H243" s="93"/>
      <c r="I243" s="93"/>
      <c r="J243" s="94"/>
    </row>
    <row r="244" spans="1:10">
      <c r="A244" s="95"/>
      <c r="B244" s="93"/>
      <c r="C244" s="93"/>
      <c r="D244" s="93"/>
      <c r="E244" s="93"/>
      <c r="F244" s="93"/>
      <c r="G244" s="93"/>
      <c r="H244" s="93"/>
      <c r="I244" s="93"/>
      <c r="J244" s="94"/>
    </row>
    <row r="245" spans="1:10">
      <c r="A245" s="95">
        <v>51</v>
      </c>
      <c r="B245" s="93" t="s">
        <v>494</v>
      </c>
      <c r="C245" s="93"/>
      <c r="D245" s="93"/>
      <c r="E245" s="93"/>
      <c r="F245" s="93"/>
      <c r="G245" s="103">
        <f>G326</f>
        <v>728752527.65207624</v>
      </c>
      <c r="H245" s="93"/>
      <c r="I245" s="93"/>
      <c r="J245" s="94"/>
    </row>
    <row r="246" spans="1:10">
      <c r="A246" s="95"/>
      <c r="B246" s="93"/>
      <c r="C246" s="93"/>
      <c r="D246" s="93"/>
      <c r="E246" s="93"/>
      <c r="F246" s="93"/>
      <c r="G246" s="93"/>
      <c r="H246" s="93"/>
      <c r="I246" s="93"/>
      <c r="J246" s="94"/>
    </row>
    <row r="247" spans="1:10">
      <c r="A247" s="95"/>
      <c r="B247" s="98" t="s">
        <v>495</v>
      </c>
      <c r="C247" s="93"/>
      <c r="D247" s="93"/>
      <c r="E247" s="93"/>
      <c r="F247" s="93"/>
      <c r="G247" s="93"/>
      <c r="H247" s="93"/>
      <c r="I247" s="93"/>
      <c r="J247" s="94"/>
    </row>
    <row r="248" spans="1:10">
      <c r="A248" s="102">
        <v>52</v>
      </c>
      <c r="B248" s="98" t="s">
        <v>496</v>
      </c>
      <c r="C248" s="93"/>
      <c r="D248" s="93"/>
      <c r="E248" s="93"/>
      <c r="F248" s="93"/>
      <c r="G248" s="104">
        <v>0</v>
      </c>
      <c r="H248" s="93"/>
      <c r="I248" s="93"/>
      <c r="J248" s="94"/>
    </row>
    <row r="249" spans="1:10">
      <c r="A249" s="95"/>
      <c r="B249" s="93"/>
      <c r="C249" s="93"/>
      <c r="D249" s="93"/>
      <c r="E249" s="93"/>
      <c r="F249" s="93"/>
      <c r="G249" s="93"/>
      <c r="H249" s="93"/>
      <c r="I249" s="93"/>
      <c r="J249" s="94"/>
    </row>
    <row r="250" spans="1:10">
      <c r="A250" s="102">
        <v>53</v>
      </c>
      <c r="B250" s="98" t="s">
        <v>497</v>
      </c>
      <c r="C250" s="93"/>
      <c r="D250" s="93"/>
      <c r="E250" s="93"/>
      <c r="F250" s="93"/>
      <c r="G250" s="104">
        <v>0</v>
      </c>
      <c r="H250" s="93"/>
      <c r="I250" s="93"/>
      <c r="J250" s="94"/>
    </row>
    <row r="251" spans="1:10">
      <c r="A251" s="102"/>
      <c r="B251" s="98"/>
      <c r="C251" s="93"/>
      <c r="D251" s="93"/>
      <c r="E251" s="93"/>
      <c r="F251" s="93"/>
      <c r="G251" s="104"/>
      <c r="H251" s="93"/>
      <c r="I251" s="93"/>
      <c r="J251" s="94"/>
    </row>
    <row r="252" spans="1:10">
      <c r="A252" s="102">
        <v>54</v>
      </c>
      <c r="B252" s="98" t="s">
        <v>498</v>
      </c>
      <c r="C252" s="93"/>
      <c r="D252" s="93"/>
      <c r="E252" s="93"/>
      <c r="F252" s="93"/>
      <c r="G252" s="104">
        <v>0</v>
      </c>
      <c r="H252" s="93"/>
      <c r="I252" s="93"/>
      <c r="J252" s="94"/>
    </row>
    <row r="253" spans="1:10">
      <c r="A253" s="95"/>
      <c r="B253" s="93"/>
      <c r="C253" s="93"/>
      <c r="D253" s="93"/>
      <c r="E253" s="93"/>
      <c r="F253" s="93"/>
      <c r="G253" s="93"/>
      <c r="H253" s="93"/>
      <c r="I253" s="93"/>
      <c r="J253" s="94"/>
    </row>
    <row r="254" spans="1:10">
      <c r="A254" s="102">
        <v>55</v>
      </c>
      <c r="B254" s="105" t="s">
        <v>499</v>
      </c>
      <c r="C254" s="93"/>
      <c r="D254" s="93"/>
      <c r="E254" s="93"/>
      <c r="F254" s="93"/>
      <c r="G254" s="110">
        <f>G248+G250+G252</f>
        <v>0</v>
      </c>
      <c r="H254" s="93"/>
      <c r="I254" s="93"/>
      <c r="J254" s="94"/>
    </row>
    <row r="255" spans="1:10">
      <c r="A255" s="95"/>
      <c r="B255" s="93"/>
      <c r="C255" s="93"/>
      <c r="D255" s="93"/>
      <c r="E255" s="93"/>
      <c r="F255" s="93"/>
      <c r="G255" s="93"/>
      <c r="H255" s="93"/>
      <c r="I255" s="93"/>
      <c r="J255" s="94"/>
    </row>
    <row r="256" spans="1:10">
      <c r="A256" s="102">
        <v>56</v>
      </c>
      <c r="B256" s="105" t="s">
        <v>500</v>
      </c>
      <c r="C256" s="93"/>
      <c r="D256" s="93"/>
      <c r="E256" s="93"/>
      <c r="F256" s="93"/>
      <c r="G256" s="106" t="e">
        <f>G241-G254</f>
        <v>#VALUE!</v>
      </c>
      <c r="H256" s="101" t="e">
        <f>7912400970.4-2211021637.7-3988692829.43+15819680+11265421.41+1294878+46285+1254118-G256</f>
        <v>#VALUE!</v>
      </c>
      <c r="I256" s="93"/>
      <c r="J256" s="94"/>
    </row>
    <row r="257" spans="1:10">
      <c r="A257" s="95"/>
      <c r="B257" s="93"/>
      <c r="C257" s="93"/>
      <c r="D257" s="93"/>
      <c r="E257" s="93"/>
      <c r="F257" s="93"/>
      <c r="G257" s="93"/>
      <c r="H257" s="93"/>
      <c r="I257" s="93"/>
      <c r="J257" s="94"/>
    </row>
    <row r="258" spans="1:10">
      <c r="A258" s="102" t="s">
        <v>501</v>
      </c>
      <c r="B258" s="98" t="s">
        <v>502</v>
      </c>
      <c r="C258" s="93"/>
      <c r="D258" s="93"/>
      <c r="E258" s="93"/>
      <c r="F258" s="93"/>
      <c r="G258" s="93"/>
      <c r="H258" s="93"/>
      <c r="I258" s="93"/>
      <c r="J258" s="94"/>
    </row>
    <row r="259" spans="1:10">
      <c r="A259" s="95"/>
      <c r="B259" s="98" t="s">
        <v>503</v>
      </c>
      <c r="C259" s="93"/>
      <c r="D259" s="93"/>
      <c r="E259" s="93"/>
      <c r="F259" s="93"/>
      <c r="G259" s="104">
        <v>0</v>
      </c>
      <c r="H259" s="101"/>
      <c r="I259" s="93"/>
      <c r="J259" s="94"/>
    </row>
    <row r="260" spans="1:10">
      <c r="A260" s="95"/>
      <c r="B260" s="93"/>
      <c r="C260" s="93"/>
      <c r="D260" s="93"/>
      <c r="E260" s="93"/>
      <c r="F260" s="93"/>
      <c r="G260" s="93"/>
      <c r="H260" s="93"/>
      <c r="I260" s="93"/>
      <c r="J260" s="94"/>
    </row>
    <row r="261" spans="1:10">
      <c r="A261" s="95"/>
      <c r="B261" s="98" t="s">
        <v>504</v>
      </c>
      <c r="C261" s="93"/>
      <c r="D261" s="93"/>
      <c r="E261" s="93"/>
      <c r="F261" s="93"/>
      <c r="G261" s="101">
        <v>0</v>
      </c>
      <c r="H261" s="101"/>
      <c r="I261" s="93"/>
      <c r="J261" s="94"/>
    </row>
    <row r="262" spans="1:10">
      <c r="A262" s="95"/>
      <c r="B262" s="93"/>
      <c r="C262" s="93"/>
      <c r="D262" s="93"/>
      <c r="E262" s="93"/>
      <c r="F262" s="93"/>
      <c r="G262" s="101"/>
      <c r="H262" s="101"/>
      <c r="I262" s="93"/>
      <c r="J262" s="94"/>
    </row>
    <row r="263" spans="1:10">
      <c r="A263" s="95"/>
      <c r="B263" s="98" t="s">
        <v>505</v>
      </c>
      <c r="C263" s="93"/>
      <c r="D263" s="93"/>
      <c r="E263" s="93"/>
      <c r="F263" s="93"/>
      <c r="G263" s="101">
        <v>0</v>
      </c>
      <c r="H263" s="101"/>
      <c r="I263" s="93"/>
      <c r="J263" s="94"/>
    </row>
    <row r="264" spans="1:10">
      <c r="A264" s="95"/>
      <c r="B264" s="93"/>
      <c r="C264" s="93"/>
      <c r="D264" s="93"/>
      <c r="E264" s="93"/>
      <c r="F264" s="93"/>
      <c r="G264" s="101"/>
      <c r="H264" s="101"/>
      <c r="I264" s="93"/>
      <c r="J264" s="94"/>
    </row>
    <row r="265" spans="1:10">
      <c r="A265" s="99" t="s">
        <v>506</v>
      </c>
      <c r="B265" s="105" t="s">
        <v>507</v>
      </c>
      <c r="C265" s="93"/>
      <c r="D265" s="93"/>
      <c r="E265" s="93"/>
      <c r="F265" s="93"/>
      <c r="G265" s="101"/>
      <c r="H265" s="101"/>
      <c r="I265" s="93"/>
      <c r="J265" s="94"/>
    </row>
    <row r="266" spans="1:10">
      <c r="A266" s="102">
        <v>58</v>
      </c>
      <c r="B266" s="98" t="s">
        <v>508</v>
      </c>
      <c r="C266" s="93"/>
      <c r="D266" s="93"/>
      <c r="E266" s="93"/>
      <c r="F266" s="93"/>
      <c r="G266" s="101" t="e">
        <f>(G256*0.35)</f>
        <v>#VALUE!</v>
      </c>
      <c r="H266" s="101"/>
      <c r="I266" s="93"/>
      <c r="J266" s="94"/>
    </row>
    <row r="267" spans="1:10">
      <c r="A267" s="95"/>
      <c r="B267" s="93"/>
      <c r="C267" s="93"/>
      <c r="D267" s="93"/>
      <c r="E267" s="93"/>
      <c r="F267" s="93"/>
      <c r="G267" s="93"/>
      <c r="H267" s="93"/>
      <c r="I267" s="93"/>
      <c r="J267" s="94"/>
    </row>
    <row r="268" spans="1:10">
      <c r="A268" s="95"/>
      <c r="B268" s="98" t="s">
        <v>509</v>
      </c>
      <c r="C268" s="93"/>
      <c r="D268" s="93"/>
      <c r="E268" s="93"/>
      <c r="F268" s="93"/>
      <c r="G268" s="93"/>
      <c r="H268" s="93"/>
      <c r="I268" s="93"/>
      <c r="J268" s="94"/>
    </row>
    <row r="269" spans="1:10">
      <c r="A269" s="102">
        <v>59</v>
      </c>
      <c r="B269" s="98" t="s">
        <v>510</v>
      </c>
      <c r="C269" s="93"/>
      <c r="D269" s="93"/>
      <c r="E269" s="93"/>
      <c r="F269" s="93"/>
      <c r="G269" s="101">
        <v>0</v>
      </c>
      <c r="H269" s="93"/>
      <c r="I269" s="93"/>
      <c r="J269" s="94"/>
    </row>
    <row r="270" spans="1:10">
      <c r="A270" s="95"/>
      <c r="B270" s="93"/>
      <c r="C270" s="93"/>
      <c r="D270" s="93"/>
      <c r="E270" s="93"/>
      <c r="F270" s="93"/>
      <c r="G270" s="93"/>
      <c r="H270" s="93"/>
      <c r="I270" s="93"/>
      <c r="J270" s="94"/>
    </row>
    <row r="271" spans="1:10">
      <c r="A271" s="102">
        <v>60</v>
      </c>
      <c r="B271" s="98" t="s">
        <v>511</v>
      </c>
      <c r="C271" s="93"/>
      <c r="D271" s="93"/>
      <c r="E271" s="93"/>
      <c r="F271" s="93"/>
      <c r="G271" s="104">
        <v>0</v>
      </c>
      <c r="H271" s="93"/>
      <c r="I271" s="93"/>
      <c r="J271" s="94"/>
    </row>
    <row r="272" spans="1:10">
      <c r="A272" s="95"/>
      <c r="B272" s="93"/>
      <c r="C272" s="93"/>
      <c r="D272" s="93"/>
      <c r="E272" s="93"/>
      <c r="F272" s="93"/>
      <c r="G272" s="101"/>
      <c r="H272" s="93"/>
      <c r="I272" s="93"/>
      <c r="J272" s="94"/>
    </row>
    <row r="273" spans="1:10">
      <c r="A273" s="102">
        <v>61</v>
      </c>
      <c r="B273" s="98" t="s">
        <v>512</v>
      </c>
      <c r="C273" s="93"/>
      <c r="D273" s="93"/>
      <c r="E273" s="93"/>
      <c r="F273" s="93"/>
      <c r="G273" s="93">
        <v>0</v>
      </c>
      <c r="H273" s="93"/>
      <c r="I273" s="93"/>
      <c r="J273" s="94"/>
    </row>
    <row r="274" spans="1:10">
      <c r="A274" s="102"/>
      <c r="B274" s="98"/>
      <c r="C274" s="93"/>
      <c r="D274" s="93"/>
      <c r="E274" s="93"/>
      <c r="F274" s="93"/>
      <c r="G274" s="93"/>
      <c r="H274" s="93"/>
      <c r="I274" s="93"/>
      <c r="J274" s="94"/>
    </row>
    <row r="275" spans="1:10">
      <c r="A275" s="95">
        <v>62</v>
      </c>
      <c r="B275" s="98" t="s">
        <v>513</v>
      </c>
      <c r="C275" s="93"/>
      <c r="D275" s="93"/>
      <c r="E275" s="93"/>
      <c r="F275" s="93"/>
      <c r="G275" s="93"/>
      <c r="H275" s="93"/>
      <c r="I275" s="93"/>
      <c r="J275" s="94"/>
    </row>
    <row r="276" spans="1:10">
      <c r="A276" s="95"/>
      <c r="B276" s="98" t="s">
        <v>514</v>
      </c>
      <c r="C276" s="93"/>
      <c r="D276" s="93"/>
      <c r="E276" s="93"/>
      <c r="F276" s="93"/>
      <c r="G276" s="101">
        <f>(281500964*0.35)</f>
        <v>98525337.399999991</v>
      </c>
      <c r="H276" s="104" t="s">
        <v>228</v>
      </c>
      <c r="I276" s="93"/>
      <c r="J276" s="94"/>
    </row>
    <row r="277" spans="1:10">
      <c r="A277" s="95"/>
      <c r="B277" s="93"/>
      <c r="C277" s="93"/>
      <c r="D277" s="93"/>
      <c r="E277" s="93"/>
      <c r="F277" s="93"/>
      <c r="G277" s="101">
        <f>G269+G271+G273+G276</f>
        <v>98525337.399999991</v>
      </c>
      <c r="H277" s="93"/>
      <c r="I277" s="93"/>
      <c r="J277" s="94"/>
    </row>
    <row r="278" spans="1:10">
      <c r="A278" s="95"/>
      <c r="B278" s="93"/>
      <c r="C278" s="93"/>
      <c r="D278" s="93"/>
      <c r="E278" s="93"/>
      <c r="F278" s="93"/>
      <c r="G278" s="93"/>
      <c r="H278" s="93"/>
      <c r="I278" s="93"/>
      <c r="J278" s="94"/>
    </row>
    <row r="279" spans="1:10">
      <c r="A279" s="102">
        <v>63</v>
      </c>
      <c r="B279" s="98" t="s">
        <v>515</v>
      </c>
      <c r="C279" s="93"/>
      <c r="D279" s="93"/>
      <c r="E279" s="93"/>
      <c r="F279" s="93"/>
      <c r="G279" s="101" t="e">
        <f>G266-G277</f>
        <v>#VALUE!</v>
      </c>
      <c r="H279" s="93"/>
      <c r="I279" s="93"/>
      <c r="J279" s="94"/>
    </row>
    <row r="280" spans="1:10">
      <c r="A280" s="95"/>
      <c r="B280" s="93"/>
      <c r="C280" s="93"/>
      <c r="D280" s="93"/>
      <c r="E280" s="93"/>
      <c r="F280" s="93"/>
      <c r="G280" s="93"/>
      <c r="H280" s="93"/>
      <c r="I280" s="93"/>
      <c r="J280" s="94"/>
    </row>
    <row r="281" spans="1:10">
      <c r="A281" s="102">
        <v>64</v>
      </c>
      <c r="B281" s="98" t="s">
        <v>516</v>
      </c>
      <c r="C281" s="93"/>
      <c r="D281" s="93"/>
      <c r="E281" s="93"/>
      <c r="F281" s="93"/>
      <c r="G281" s="104">
        <v>0</v>
      </c>
      <c r="H281" s="93"/>
      <c r="I281" s="93"/>
      <c r="J281" s="94"/>
    </row>
    <row r="282" spans="1:10">
      <c r="A282" s="95"/>
      <c r="B282" s="93"/>
      <c r="C282" s="93"/>
      <c r="D282" s="93"/>
      <c r="E282" s="93"/>
      <c r="F282" s="93"/>
      <c r="G282" s="93"/>
      <c r="H282" s="93"/>
      <c r="I282" s="93"/>
      <c r="J282" s="94"/>
    </row>
    <row r="283" spans="1:10">
      <c r="A283" s="102">
        <v>65</v>
      </c>
      <c r="B283" s="105" t="s">
        <v>517</v>
      </c>
      <c r="C283" s="93"/>
      <c r="D283" s="93"/>
      <c r="E283" s="93"/>
      <c r="F283" s="93"/>
      <c r="G283" s="106" t="e">
        <f>G279+G281</f>
        <v>#VALUE!</v>
      </c>
      <c r="H283" s="93"/>
      <c r="I283" s="93"/>
      <c r="J283" s="94"/>
    </row>
    <row r="284" spans="1:10">
      <c r="A284" s="95"/>
      <c r="B284" s="93"/>
      <c r="C284" s="93"/>
      <c r="D284" s="93"/>
      <c r="E284" s="93"/>
      <c r="F284" s="93"/>
      <c r="G284" s="93"/>
      <c r="H284" s="93"/>
      <c r="I284" s="93"/>
      <c r="J284" s="94"/>
    </row>
    <row r="285" spans="1:10">
      <c r="A285" s="102">
        <v>66</v>
      </c>
      <c r="B285" s="98" t="s">
        <v>518</v>
      </c>
      <c r="C285" s="93"/>
      <c r="D285" s="93"/>
      <c r="E285" s="93"/>
      <c r="F285" s="93"/>
      <c r="G285" s="101">
        <v>0</v>
      </c>
      <c r="H285" s="93"/>
      <c r="I285" s="93"/>
      <c r="J285" s="94"/>
    </row>
    <row r="286" spans="1:10">
      <c r="A286" s="95"/>
      <c r="B286" s="93"/>
      <c r="C286" s="93"/>
      <c r="D286" s="93"/>
      <c r="E286" s="93"/>
      <c r="F286" s="93"/>
      <c r="G286" s="93"/>
      <c r="H286" s="93"/>
      <c r="I286" s="93"/>
      <c r="J286" s="94"/>
    </row>
    <row r="287" spans="1:10">
      <c r="A287" s="102">
        <v>67</v>
      </c>
      <c r="B287" s="98" t="s">
        <v>519</v>
      </c>
      <c r="C287" s="93"/>
      <c r="D287" s="93"/>
      <c r="E287" s="93"/>
      <c r="F287" s="93"/>
      <c r="G287" s="104">
        <v>0</v>
      </c>
      <c r="H287" s="93"/>
      <c r="I287" s="93"/>
      <c r="J287" s="94"/>
    </row>
    <row r="288" spans="1:10">
      <c r="A288" s="95"/>
      <c r="B288" s="93"/>
      <c r="C288" s="93"/>
      <c r="D288" s="93"/>
      <c r="E288" s="93"/>
      <c r="F288" s="93"/>
      <c r="G288" s="93"/>
      <c r="H288" s="93"/>
      <c r="I288" s="93"/>
      <c r="J288" s="94"/>
    </row>
    <row r="289" spans="1:10">
      <c r="A289" s="102">
        <v>68</v>
      </c>
      <c r="B289" s="105" t="s">
        <v>520</v>
      </c>
      <c r="C289" s="93"/>
      <c r="D289" s="93"/>
      <c r="E289" s="93"/>
      <c r="F289" s="93"/>
      <c r="G289" s="106" t="e">
        <f>G283+G285+G287</f>
        <v>#VALUE!</v>
      </c>
      <c r="H289" s="93"/>
      <c r="I289" s="93"/>
      <c r="J289" s="94"/>
    </row>
    <row r="290" spans="1:10">
      <c r="A290" s="95"/>
      <c r="B290" s="93"/>
      <c r="C290" s="93"/>
      <c r="D290" s="93"/>
      <c r="E290" s="93"/>
      <c r="F290" s="93"/>
      <c r="G290" s="93"/>
      <c r="H290" s="93"/>
      <c r="I290" s="93"/>
      <c r="J290" s="94"/>
    </row>
    <row r="291" spans="1:10">
      <c r="A291" s="95"/>
      <c r="B291" s="98" t="s">
        <v>521</v>
      </c>
      <c r="C291" s="93"/>
      <c r="D291" s="93"/>
      <c r="E291" s="93"/>
      <c r="F291" s="93"/>
      <c r="G291" s="101"/>
      <c r="H291" s="93"/>
      <c r="I291" s="93"/>
      <c r="J291" s="94"/>
    </row>
    <row r="292" spans="1:10">
      <c r="A292" s="102">
        <v>69</v>
      </c>
      <c r="B292" s="98" t="s">
        <v>522</v>
      </c>
      <c r="C292" s="93"/>
      <c r="D292" s="93"/>
      <c r="E292" s="93"/>
      <c r="F292" s="93"/>
      <c r="G292" s="101">
        <v>0</v>
      </c>
      <c r="H292" s="93"/>
      <c r="I292" s="93"/>
      <c r="J292" s="94"/>
    </row>
    <row r="293" spans="1:10">
      <c r="A293" s="95"/>
      <c r="B293" s="93"/>
      <c r="C293" s="93"/>
      <c r="D293" s="93"/>
      <c r="E293" s="93"/>
      <c r="F293" s="93"/>
      <c r="G293" s="101" t="s">
        <v>228</v>
      </c>
      <c r="H293" s="93"/>
      <c r="I293" s="93"/>
      <c r="J293" s="94"/>
    </row>
    <row r="294" spans="1:10">
      <c r="A294" s="102">
        <v>70</v>
      </c>
      <c r="B294" s="98" t="s">
        <v>523</v>
      </c>
      <c r="C294" s="93"/>
      <c r="D294" s="93"/>
      <c r="E294" s="93"/>
      <c r="F294" s="93"/>
      <c r="G294" s="101">
        <f>3478115.76+274375</f>
        <v>3752490.76</v>
      </c>
      <c r="H294" s="93"/>
      <c r="I294" s="93"/>
      <c r="J294" s="94"/>
    </row>
    <row r="295" spans="1:10">
      <c r="A295" s="95"/>
      <c r="B295" s="93"/>
      <c r="C295" s="93"/>
      <c r="D295" s="93"/>
      <c r="E295" s="93"/>
      <c r="F295" s="93"/>
      <c r="G295" s="101"/>
      <c r="H295" s="93"/>
      <c r="I295" s="93"/>
      <c r="J295" s="94"/>
    </row>
    <row r="296" spans="1:10">
      <c r="A296" s="102">
        <v>71</v>
      </c>
      <c r="B296" s="98" t="s">
        <v>428</v>
      </c>
      <c r="C296" s="93"/>
      <c r="D296" s="93"/>
      <c r="E296" s="93"/>
      <c r="F296" s="93"/>
      <c r="G296" s="101">
        <v>0</v>
      </c>
      <c r="H296" s="93"/>
      <c r="I296" s="93"/>
      <c r="J296" s="94"/>
    </row>
    <row r="297" spans="1:10">
      <c r="A297" s="95"/>
      <c r="B297" s="93"/>
      <c r="C297" s="93"/>
      <c r="D297" s="93"/>
      <c r="E297" s="93"/>
      <c r="F297" s="93"/>
      <c r="G297" s="101"/>
      <c r="H297" s="93"/>
      <c r="I297" s="93"/>
      <c r="J297" s="94"/>
    </row>
    <row r="298" spans="1:10">
      <c r="A298" s="102">
        <v>72</v>
      </c>
      <c r="B298" s="98" t="s">
        <v>524</v>
      </c>
      <c r="C298" s="93"/>
      <c r="D298" s="93"/>
      <c r="E298" s="93"/>
      <c r="F298" s="93"/>
      <c r="G298" s="101">
        <v>0</v>
      </c>
      <c r="H298" s="93"/>
      <c r="I298" s="93"/>
      <c r="J298" s="94"/>
    </row>
    <row r="299" spans="1:10">
      <c r="A299" s="95"/>
      <c r="B299" s="93"/>
      <c r="C299" s="93"/>
      <c r="D299" s="93"/>
      <c r="E299" s="93"/>
      <c r="F299" s="93"/>
      <c r="G299" s="101"/>
      <c r="H299" s="93"/>
      <c r="I299" s="93"/>
      <c r="J299" s="94"/>
    </row>
    <row r="300" spans="1:10">
      <c r="A300" s="102">
        <v>73</v>
      </c>
      <c r="B300" s="98" t="s">
        <v>368</v>
      </c>
      <c r="C300" s="93"/>
      <c r="D300" s="93"/>
      <c r="E300" s="93"/>
      <c r="F300" s="93"/>
      <c r="G300" s="101">
        <v>0</v>
      </c>
      <c r="H300" s="93"/>
      <c r="I300" s="93"/>
      <c r="J300" s="94"/>
    </row>
    <row r="301" spans="1:10">
      <c r="A301" s="95"/>
      <c r="B301" s="93"/>
      <c r="C301" s="93"/>
      <c r="D301" s="93"/>
      <c r="E301" s="93"/>
      <c r="F301" s="93"/>
      <c r="G301" s="101"/>
      <c r="H301" s="93"/>
      <c r="I301" s="93"/>
      <c r="J301" s="94"/>
    </row>
    <row r="302" spans="1:10">
      <c r="A302" s="102">
        <v>74</v>
      </c>
      <c r="B302" s="98" t="s">
        <v>525</v>
      </c>
      <c r="C302" s="93"/>
      <c r="D302" s="93"/>
      <c r="E302" s="93"/>
      <c r="F302" s="93"/>
      <c r="G302" s="101">
        <f>341427526.76-307073000-3752491</f>
        <v>30602035.75999999</v>
      </c>
      <c r="H302" s="93"/>
      <c r="I302" s="93"/>
      <c r="J302" s="94"/>
    </row>
    <row r="303" spans="1:10">
      <c r="A303" s="95"/>
      <c r="B303" s="93"/>
      <c r="C303" s="93"/>
      <c r="D303" s="93"/>
      <c r="E303" s="93"/>
      <c r="F303" s="93"/>
      <c r="G303" s="101"/>
      <c r="H303" s="93"/>
      <c r="I303" s="93"/>
      <c r="J303" s="94"/>
    </row>
    <row r="304" spans="1:10">
      <c r="A304" s="102">
        <v>75</v>
      </c>
      <c r="B304" s="98" t="s">
        <v>526</v>
      </c>
      <c r="C304" s="93"/>
      <c r="D304" s="93"/>
      <c r="E304" s="93"/>
      <c r="F304" s="93"/>
      <c r="G304" s="101">
        <v>0</v>
      </c>
      <c r="H304" s="93"/>
      <c r="I304" s="93"/>
      <c r="J304" s="94"/>
    </row>
    <row r="305" spans="1:10">
      <c r="A305" s="95"/>
      <c r="B305" s="93"/>
      <c r="C305" s="93"/>
      <c r="D305" s="93"/>
      <c r="E305" s="93"/>
      <c r="F305" s="93"/>
      <c r="G305" s="111"/>
      <c r="H305" s="93"/>
      <c r="I305" s="93"/>
      <c r="J305" s="94"/>
    </row>
    <row r="306" spans="1:10">
      <c r="A306" s="102">
        <v>76</v>
      </c>
      <c r="B306" s="105" t="s">
        <v>527</v>
      </c>
      <c r="C306" s="93"/>
      <c r="D306" s="93"/>
      <c r="E306" s="93"/>
      <c r="F306" s="93"/>
      <c r="G306" s="106">
        <f>SUM(G292:G304)</f>
        <v>34354526.519999988</v>
      </c>
      <c r="H306" s="104" t="s">
        <v>228</v>
      </c>
      <c r="I306" s="93"/>
      <c r="J306" s="94"/>
    </row>
    <row r="307" spans="1:10">
      <c r="A307" s="95"/>
      <c r="B307" s="93"/>
      <c r="C307" s="93"/>
      <c r="D307" s="93"/>
      <c r="E307" s="93"/>
      <c r="F307" s="93"/>
      <c r="G307" s="93"/>
      <c r="H307" s="93"/>
      <c r="I307" s="93"/>
      <c r="J307" s="94"/>
    </row>
    <row r="308" spans="1:10">
      <c r="A308" s="102">
        <v>77</v>
      </c>
      <c r="B308" s="98" t="s">
        <v>528</v>
      </c>
      <c r="C308" s="93"/>
      <c r="D308" s="93"/>
      <c r="E308" s="93"/>
      <c r="F308" s="93"/>
      <c r="G308" s="101">
        <v>0</v>
      </c>
      <c r="H308" s="93"/>
      <c r="I308" s="93"/>
      <c r="J308" s="94"/>
    </row>
    <row r="309" spans="1:10">
      <c r="A309" s="95"/>
      <c r="B309" s="93"/>
      <c r="C309" s="93"/>
      <c r="D309" s="93"/>
      <c r="E309" s="93"/>
      <c r="F309" s="93"/>
      <c r="G309" s="101"/>
      <c r="H309" s="93"/>
      <c r="I309" s="93"/>
      <c r="J309" s="94"/>
    </row>
    <row r="310" spans="1:10">
      <c r="A310" s="102">
        <v>78</v>
      </c>
      <c r="B310" s="98" t="s">
        <v>529</v>
      </c>
      <c r="C310" s="93"/>
      <c r="D310" s="93"/>
      <c r="E310" s="93"/>
      <c r="F310" s="93"/>
      <c r="G310" s="101">
        <v>307073000</v>
      </c>
      <c r="H310" s="93" t="s">
        <v>228</v>
      </c>
      <c r="I310" s="93"/>
      <c r="J310" s="94"/>
    </row>
    <row r="311" spans="1:10">
      <c r="A311" s="95"/>
      <c r="B311" s="93"/>
      <c r="C311" s="93"/>
      <c r="D311" s="93"/>
      <c r="E311" s="93"/>
      <c r="F311" s="93"/>
      <c r="G311" s="101"/>
      <c r="H311" s="93"/>
      <c r="I311" s="93"/>
      <c r="J311" s="94"/>
    </row>
    <row r="312" spans="1:10">
      <c r="A312" s="102">
        <v>79</v>
      </c>
      <c r="B312" s="98" t="s">
        <v>530</v>
      </c>
      <c r="C312" s="93"/>
      <c r="D312" s="93"/>
      <c r="E312" s="93"/>
      <c r="F312" s="93"/>
      <c r="G312" s="101" t="e">
        <f>F359</f>
        <v>#VALUE!</v>
      </c>
      <c r="H312" s="93"/>
      <c r="I312" s="93"/>
      <c r="J312" s="94"/>
    </row>
    <row r="313" spans="1:10">
      <c r="A313" s="95"/>
      <c r="B313" s="93"/>
      <c r="C313" s="93"/>
      <c r="D313" s="93"/>
      <c r="E313" s="93"/>
      <c r="F313" s="93"/>
      <c r="G313" s="101"/>
      <c r="H313" s="93"/>
      <c r="I313" s="93"/>
      <c r="J313" s="94"/>
    </row>
    <row r="314" spans="1:10">
      <c r="A314" s="102">
        <v>80</v>
      </c>
      <c r="B314" s="98" t="s">
        <v>531</v>
      </c>
      <c r="C314" s="93"/>
      <c r="D314" s="93"/>
      <c r="E314" s="93"/>
      <c r="F314" s="93"/>
      <c r="G314" s="101">
        <v>0</v>
      </c>
      <c r="H314" s="93"/>
      <c r="I314" s="93"/>
      <c r="J314" s="94"/>
    </row>
    <row r="315" spans="1:10">
      <c r="A315" s="95"/>
      <c r="B315" s="93"/>
      <c r="C315" s="93"/>
      <c r="D315" s="93"/>
      <c r="E315" s="93"/>
      <c r="F315" s="93"/>
      <c r="G315" s="101"/>
      <c r="H315" s="93"/>
      <c r="I315" s="93"/>
      <c r="J315" s="94"/>
    </row>
    <row r="316" spans="1:10">
      <c r="A316" s="102">
        <v>81</v>
      </c>
      <c r="B316" s="105" t="s">
        <v>532</v>
      </c>
      <c r="C316" s="93"/>
      <c r="D316" s="93"/>
      <c r="E316" s="93"/>
      <c r="F316" s="93"/>
      <c r="G316" s="106" t="e">
        <f>(+G289-G306-G310+G312)</f>
        <v>#VALUE!</v>
      </c>
      <c r="H316" s="101" t="s">
        <v>228</v>
      </c>
      <c r="I316" s="98" t="s">
        <v>228</v>
      </c>
      <c r="J316" s="94"/>
    </row>
    <row r="317" spans="1:10">
      <c r="A317" s="95"/>
      <c r="B317" s="93"/>
      <c r="C317" s="93"/>
      <c r="D317" s="93"/>
      <c r="E317" s="93"/>
      <c r="F317" s="93"/>
      <c r="G317" s="93"/>
      <c r="H317" s="93"/>
      <c r="I317" s="93"/>
      <c r="J317" s="94"/>
    </row>
    <row r="318" spans="1:10">
      <c r="A318" s="102">
        <v>82</v>
      </c>
      <c r="B318" s="98" t="s">
        <v>533</v>
      </c>
      <c r="C318" s="93"/>
      <c r="D318" s="93"/>
      <c r="E318" s="93"/>
      <c r="F318" s="93"/>
      <c r="G318" s="104">
        <v>0</v>
      </c>
      <c r="H318" s="93"/>
      <c r="I318" s="93"/>
      <c r="J318" s="94"/>
    </row>
    <row r="319" spans="1:10">
      <c r="A319" s="97" t="s">
        <v>534</v>
      </c>
      <c r="B319" s="93"/>
      <c r="C319" s="93"/>
      <c r="D319" s="93"/>
      <c r="E319" s="93"/>
      <c r="F319" s="93"/>
      <c r="G319" s="93"/>
      <c r="H319" s="93"/>
      <c r="I319" s="93"/>
      <c r="J319" s="94"/>
    </row>
    <row r="320" spans="1:10">
      <c r="A320" s="95"/>
      <c r="B320" s="93"/>
      <c r="C320" s="93"/>
      <c r="D320" s="93"/>
      <c r="E320" s="93"/>
      <c r="F320" s="93"/>
      <c r="G320" s="93"/>
      <c r="H320" s="93"/>
      <c r="I320" s="93"/>
      <c r="J320" s="94"/>
    </row>
    <row r="321" spans="1:10">
      <c r="A321" s="95"/>
      <c r="B321" s="93"/>
      <c r="C321" s="93"/>
      <c r="D321" s="93"/>
      <c r="E321" s="93"/>
      <c r="F321" s="93"/>
      <c r="G321" s="93" t="s">
        <v>228</v>
      </c>
      <c r="H321" s="93"/>
      <c r="I321" s="93"/>
      <c r="J321" s="94"/>
    </row>
    <row r="322" spans="1:10">
      <c r="A322" s="95"/>
      <c r="B322" s="93"/>
      <c r="C322" s="93"/>
      <c r="D322" s="93"/>
      <c r="E322" s="93"/>
      <c r="F322" s="93"/>
      <c r="G322" s="101"/>
      <c r="H322" s="93"/>
      <c r="I322" s="93"/>
      <c r="J322" s="94"/>
    </row>
    <row r="323" spans="1:10">
      <c r="A323" s="95"/>
      <c r="B323" s="93"/>
      <c r="C323" s="93"/>
      <c r="D323" s="93"/>
      <c r="E323" s="93"/>
      <c r="F323" s="93"/>
      <c r="G323" s="101"/>
      <c r="H323" s="101"/>
      <c r="I323" s="93"/>
      <c r="J323" s="94"/>
    </row>
    <row r="324" spans="1:10">
      <c r="A324" s="95"/>
      <c r="B324" s="93"/>
      <c r="C324" s="93"/>
      <c r="D324" s="93"/>
      <c r="E324" s="93"/>
      <c r="F324" s="93"/>
      <c r="G324" s="93"/>
      <c r="H324" s="93"/>
      <c r="I324" s="93"/>
      <c r="J324" s="94"/>
    </row>
    <row r="325" spans="1:10">
      <c r="A325" s="95"/>
      <c r="B325" s="93"/>
      <c r="C325" s="93"/>
      <c r="D325" s="93"/>
      <c r="E325" s="93"/>
      <c r="F325" s="93"/>
      <c r="G325" s="93"/>
      <c r="H325" s="93"/>
      <c r="I325" s="93"/>
      <c r="J325" s="94"/>
    </row>
    <row r="326" spans="1:10">
      <c r="A326" s="95"/>
      <c r="B326" s="112" t="s">
        <v>535</v>
      </c>
      <c r="C326" s="113"/>
      <c r="D326" s="113"/>
      <c r="E326" s="93"/>
      <c r="F326" s="93"/>
      <c r="G326" s="101">
        <f>G347</f>
        <v>728752527.65207624</v>
      </c>
      <c r="H326" s="93"/>
      <c r="I326" s="93"/>
      <c r="J326" s="94"/>
    </row>
    <row r="327" spans="1:10">
      <c r="A327" s="95"/>
      <c r="B327" s="98"/>
      <c r="C327" s="93"/>
      <c r="D327" s="93"/>
      <c r="E327" s="93"/>
      <c r="F327" s="93"/>
      <c r="G327" s="101"/>
      <c r="H327" s="93"/>
      <c r="I327" s="93"/>
      <c r="J327" s="94"/>
    </row>
    <row r="328" spans="1:10">
      <c r="A328" s="95"/>
      <c r="B328" s="98" t="s">
        <v>536</v>
      </c>
      <c r="C328" s="93"/>
      <c r="D328" s="93"/>
      <c r="E328" s="93"/>
      <c r="F328" s="93"/>
      <c r="G328" s="93"/>
      <c r="H328" s="93"/>
      <c r="I328" s="93"/>
      <c r="J328" s="94"/>
    </row>
    <row r="329" spans="1:10">
      <c r="A329" s="95"/>
      <c r="B329" s="98" t="s">
        <v>537</v>
      </c>
      <c r="C329" s="93"/>
      <c r="D329" s="93"/>
      <c r="E329" s="93"/>
      <c r="F329" s="93"/>
      <c r="G329" s="101">
        <v>14631902000</v>
      </c>
      <c r="H329" s="93"/>
      <c r="I329" s="93"/>
      <c r="J329" s="94"/>
    </row>
    <row r="330" spans="1:10">
      <c r="A330" s="95"/>
      <c r="B330" s="98" t="s">
        <v>538</v>
      </c>
      <c r="C330" s="93"/>
      <c r="D330" s="93"/>
      <c r="E330" s="93"/>
      <c r="F330" s="93"/>
      <c r="G330" s="101">
        <v>15937429000</v>
      </c>
      <c r="H330" s="93"/>
      <c r="I330" s="93"/>
      <c r="J330" s="94"/>
    </row>
    <row r="331" spans="1:10">
      <c r="A331" s="95"/>
      <c r="B331" s="98" t="s">
        <v>539</v>
      </c>
      <c r="C331" s="93"/>
      <c r="D331" s="93"/>
      <c r="E331" s="93"/>
      <c r="F331" s="93"/>
      <c r="G331" s="101">
        <v>61924000</v>
      </c>
      <c r="H331" s="114"/>
      <c r="I331" s="93"/>
      <c r="J331" s="94"/>
    </row>
    <row r="332" spans="1:10">
      <c r="A332" s="95"/>
      <c r="B332" s="98"/>
      <c r="C332" s="93"/>
      <c r="D332" s="93"/>
      <c r="E332" s="93"/>
      <c r="F332" s="93"/>
      <c r="G332" s="101"/>
      <c r="H332" s="114"/>
      <c r="I332" s="93"/>
      <c r="J332" s="94"/>
    </row>
    <row r="333" spans="1:10">
      <c r="A333" s="95"/>
      <c r="B333" s="98" t="s">
        <v>540</v>
      </c>
      <c r="C333" s="93"/>
      <c r="D333" s="93"/>
      <c r="E333" s="93"/>
      <c r="F333" s="93"/>
      <c r="G333" s="115">
        <f>F342</f>
        <v>56851446.95847743</v>
      </c>
      <c r="H333" s="101"/>
      <c r="I333" s="93"/>
      <c r="J333" s="94"/>
    </row>
    <row r="334" spans="1:10">
      <c r="A334" s="95"/>
      <c r="B334" s="98"/>
      <c r="C334" s="93"/>
      <c r="D334" s="93"/>
      <c r="E334" s="93"/>
      <c r="F334" s="93"/>
      <c r="G334" s="101"/>
      <c r="H334" s="101"/>
      <c r="I334" s="93"/>
      <c r="J334" s="94"/>
    </row>
    <row r="335" spans="1:10">
      <c r="A335" s="95"/>
      <c r="B335" s="112" t="s">
        <v>541</v>
      </c>
      <c r="C335" s="93"/>
      <c r="D335" s="93"/>
      <c r="E335" s="93"/>
      <c r="F335" s="93"/>
      <c r="G335" s="101"/>
      <c r="H335" s="101"/>
      <c r="I335" s="93"/>
      <c r="J335" s="94"/>
    </row>
    <row r="336" spans="1:10">
      <c r="A336" s="95"/>
      <c r="B336" s="93"/>
      <c r="C336" s="93"/>
      <c r="D336" s="93"/>
      <c r="E336" s="93"/>
      <c r="F336" s="93"/>
      <c r="G336" s="93"/>
      <c r="H336" s="93"/>
      <c r="I336" s="93"/>
      <c r="J336" s="94"/>
    </row>
    <row r="337" spans="1:10">
      <c r="A337" s="95"/>
      <c r="B337" s="98" t="s">
        <v>542</v>
      </c>
      <c r="C337" s="93"/>
      <c r="D337" s="93" t="s">
        <v>543</v>
      </c>
      <c r="E337" s="93"/>
      <c r="F337" s="93"/>
      <c r="G337" s="93"/>
      <c r="H337" s="93"/>
      <c r="I337" s="93"/>
      <c r="J337" s="94"/>
    </row>
    <row r="338" spans="1:10">
      <c r="A338" s="95"/>
      <c r="B338" s="101">
        <f>G329</f>
        <v>14631902000</v>
      </c>
      <c r="C338" s="116" t="s">
        <v>544</v>
      </c>
      <c r="D338" s="101">
        <f>G330</f>
        <v>15937429000</v>
      </c>
      <c r="E338" s="116" t="s">
        <v>545</v>
      </c>
      <c r="F338" s="117">
        <f>B338/D338</f>
        <v>0.91808421546536767</v>
      </c>
      <c r="G338" s="93"/>
      <c r="H338" s="93"/>
      <c r="I338" s="93"/>
      <c r="J338" s="94"/>
    </row>
    <row r="339" spans="1:10">
      <c r="A339" s="95"/>
      <c r="B339" s="93"/>
      <c r="C339" s="93"/>
      <c r="D339" s="93"/>
      <c r="E339" s="93"/>
      <c r="F339" s="93"/>
      <c r="G339" s="93"/>
      <c r="H339" s="93"/>
      <c r="I339" s="93"/>
      <c r="J339" s="94"/>
    </row>
    <row r="340" spans="1:10">
      <c r="A340" s="95"/>
      <c r="B340" s="93" t="s">
        <v>546</v>
      </c>
      <c r="C340" s="93"/>
      <c r="D340" s="93"/>
      <c r="E340" s="93"/>
      <c r="F340" s="93"/>
      <c r="G340" s="93"/>
      <c r="H340" s="93"/>
      <c r="I340" s="93"/>
      <c r="J340" s="94"/>
    </row>
    <row r="341" spans="1:10">
      <c r="A341" s="95"/>
      <c r="B341" s="93"/>
      <c r="C341" s="93"/>
      <c r="D341" s="93"/>
      <c r="E341" s="93"/>
      <c r="F341" s="93"/>
      <c r="G341" s="93"/>
      <c r="H341" s="93"/>
      <c r="I341" s="93"/>
      <c r="J341" s="94"/>
    </row>
    <row r="342" spans="1:10" ht="13.2">
      <c r="A342" s="95"/>
      <c r="B342" s="103">
        <f>G331</f>
        <v>61924000</v>
      </c>
      <c r="C342" s="93" t="s">
        <v>547</v>
      </c>
      <c r="D342" s="118">
        <f>F338</f>
        <v>0.91808421546536767</v>
      </c>
      <c r="E342" s="93" t="s">
        <v>545</v>
      </c>
      <c r="F342" s="109">
        <f>B342*D342</f>
        <v>56851446.95847743</v>
      </c>
      <c r="G342" s="119"/>
      <c r="H342" s="93"/>
      <c r="I342" s="93"/>
      <c r="J342" s="94"/>
    </row>
    <row r="343" spans="1:10" ht="13.2">
      <c r="A343" s="95"/>
      <c r="B343" s="93"/>
      <c r="C343" s="93"/>
      <c r="D343" s="93"/>
      <c r="E343" s="93"/>
      <c r="F343" s="93"/>
      <c r="G343" s="119"/>
      <c r="H343" s="93"/>
      <c r="I343" s="93"/>
      <c r="J343" s="94"/>
    </row>
    <row r="344" spans="1:10" ht="13.2">
      <c r="A344" s="95"/>
      <c r="B344" s="93" t="s">
        <v>494</v>
      </c>
      <c r="C344" s="93"/>
      <c r="D344" s="93"/>
      <c r="E344" s="93"/>
      <c r="F344" s="93"/>
      <c r="G344" s="119"/>
      <c r="H344" s="93"/>
      <c r="I344" s="93"/>
      <c r="J344" s="94"/>
    </row>
    <row r="345" spans="1:10">
      <c r="A345" s="95"/>
      <c r="B345" s="93"/>
      <c r="C345" s="93"/>
      <c r="D345" s="93"/>
      <c r="E345" s="93"/>
      <c r="F345" s="93"/>
      <c r="G345" s="101"/>
      <c r="H345" s="93"/>
      <c r="I345" s="93"/>
      <c r="J345" s="94"/>
    </row>
    <row r="346" spans="1:10">
      <c r="A346" s="95"/>
      <c r="B346" s="103">
        <f>B338</f>
        <v>14631902000</v>
      </c>
      <c r="C346" s="93" t="s">
        <v>548</v>
      </c>
      <c r="D346" s="115">
        <f>F342</f>
        <v>56851446.95847743</v>
      </c>
      <c r="E346" s="93" t="s">
        <v>545</v>
      </c>
      <c r="F346" s="115">
        <f>B346-D346</f>
        <v>14575050553.041523</v>
      </c>
      <c r="G346" s="101"/>
      <c r="H346" s="93"/>
      <c r="I346" s="93"/>
      <c r="J346" s="94"/>
    </row>
    <row r="347" spans="1:10">
      <c r="A347" s="95"/>
      <c r="B347" s="93"/>
      <c r="C347" s="93"/>
      <c r="D347" s="93"/>
      <c r="E347" s="93"/>
      <c r="F347" s="93" t="s">
        <v>549</v>
      </c>
      <c r="G347" s="101">
        <f>F346*0.05</f>
        <v>728752527.65207624</v>
      </c>
      <c r="H347" s="93"/>
      <c r="I347" s="93"/>
      <c r="J347" s="94"/>
    </row>
    <row r="348" spans="1:10">
      <c r="A348" s="95"/>
      <c r="B348" s="93"/>
      <c r="C348" s="93"/>
      <c r="D348" s="93"/>
      <c r="E348" s="93"/>
      <c r="F348" s="93"/>
      <c r="G348" s="93"/>
      <c r="H348" s="93"/>
      <c r="I348" s="93"/>
      <c r="J348" s="94"/>
    </row>
    <row r="349" spans="1:10">
      <c r="A349" s="95"/>
      <c r="B349" s="112" t="s">
        <v>550</v>
      </c>
      <c r="C349" s="113"/>
      <c r="D349" s="113"/>
      <c r="E349" s="93"/>
      <c r="F349" s="93"/>
      <c r="G349" s="93"/>
      <c r="H349" s="93"/>
      <c r="I349" s="93"/>
      <c r="J349" s="94"/>
    </row>
    <row r="350" spans="1:10">
      <c r="A350" s="95"/>
      <c r="B350" s="120"/>
      <c r="C350" s="120"/>
      <c r="D350" s="120"/>
      <c r="E350" s="120"/>
      <c r="F350" s="93"/>
      <c r="G350" s="93"/>
      <c r="H350" s="93"/>
      <c r="I350" s="93"/>
      <c r="J350" s="94"/>
    </row>
    <row r="351" spans="1:10">
      <c r="A351" s="95"/>
      <c r="B351" s="112" t="s">
        <v>551</v>
      </c>
      <c r="C351" s="113"/>
      <c r="D351" s="113"/>
      <c r="E351" s="113"/>
      <c r="F351" s="113"/>
      <c r="G351" s="113"/>
      <c r="H351" s="93"/>
      <c r="I351" s="93"/>
      <c r="J351" s="94"/>
    </row>
    <row r="352" spans="1:10">
      <c r="A352" s="95"/>
      <c r="B352" s="93"/>
      <c r="C352" s="93"/>
      <c r="D352" s="93"/>
      <c r="E352" s="93"/>
      <c r="F352" s="98" t="s">
        <v>552</v>
      </c>
      <c r="G352" s="93"/>
      <c r="H352" s="93"/>
      <c r="I352" s="93"/>
      <c r="J352" s="94"/>
    </row>
    <row r="353" spans="1:10">
      <c r="A353" s="95"/>
      <c r="B353" s="93"/>
      <c r="C353" s="93"/>
      <c r="D353" s="93"/>
      <c r="E353" s="93"/>
      <c r="F353" s="93"/>
      <c r="G353" s="93"/>
      <c r="H353" s="93"/>
      <c r="I353" s="93"/>
      <c r="J353" s="94"/>
    </row>
    <row r="354" spans="1:10">
      <c r="A354" s="95"/>
      <c r="B354" s="101">
        <v>526960000</v>
      </c>
      <c r="C354" s="98" t="s">
        <v>553</v>
      </c>
      <c r="D354" s="101" t="e">
        <f>G289</f>
        <v>#VALUE!</v>
      </c>
      <c r="E354" s="98" t="s">
        <v>545</v>
      </c>
      <c r="F354" s="101" t="e">
        <f>ROUND((B354+D354)/C355,0)</f>
        <v>#VALUE!</v>
      </c>
      <c r="G354" s="93"/>
      <c r="H354" s="93"/>
      <c r="I354" s="93"/>
      <c r="J354" s="94"/>
    </row>
    <row r="355" spans="1:10">
      <c r="A355" s="95"/>
      <c r="B355" s="93"/>
      <c r="C355" s="104">
        <v>2</v>
      </c>
      <c r="D355" s="93"/>
      <c r="E355" s="93"/>
      <c r="F355" s="93"/>
      <c r="G355" s="93"/>
      <c r="H355" s="93"/>
      <c r="I355" s="93"/>
      <c r="J355" s="94"/>
    </row>
    <row r="356" spans="1:10">
      <c r="A356" s="95"/>
      <c r="B356" s="93"/>
      <c r="C356" s="93"/>
      <c r="D356" s="93"/>
      <c r="E356" s="93"/>
      <c r="F356" s="93"/>
      <c r="G356" s="93"/>
      <c r="H356" s="93"/>
      <c r="I356" s="93"/>
      <c r="J356" s="94"/>
    </row>
    <row r="357" spans="1:10">
      <c r="A357" s="95"/>
      <c r="B357" s="101" t="e">
        <f>F354</f>
        <v>#VALUE!</v>
      </c>
      <c r="C357" s="98" t="s">
        <v>554</v>
      </c>
      <c r="D357" s="121">
        <v>0.75</v>
      </c>
      <c r="E357" s="98" t="s">
        <v>545</v>
      </c>
      <c r="F357" s="101" t="e">
        <f>ROUND(B357*D357,0)</f>
        <v>#VALUE!</v>
      </c>
      <c r="G357" s="93"/>
      <c r="H357" s="93"/>
      <c r="I357" s="93"/>
      <c r="J357" s="94"/>
    </row>
    <row r="358" spans="1:10">
      <c r="A358" s="95"/>
      <c r="B358" s="93"/>
      <c r="C358" s="93"/>
      <c r="D358" s="93"/>
      <c r="E358" s="93"/>
      <c r="F358" s="93"/>
      <c r="G358" s="93"/>
      <c r="H358" s="93"/>
      <c r="I358" s="93"/>
      <c r="J358" s="94"/>
    </row>
    <row r="359" spans="1:10">
      <c r="A359" s="95"/>
      <c r="B359" s="101" t="e">
        <f>F357</f>
        <v>#VALUE!</v>
      </c>
      <c r="C359" s="116" t="s">
        <v>548</v>
      </c>
      <c r="D359" s="101">
        <f>G306</f>
        <v>34354526.519999988</v>
      </c>
      <c r="E359" s="116" t="s">
        <v>545</v>
      </c>
      <c r="F359" s="101" t="e">
        <f>B359-D359</f>
        <v>#VALUE!</v>
      </c>
      <c r="G359" s="98" t="s">
        <v>555</v>
      </c>
      <c r="H359" s="93"/>
      <c r="I359" s="93"/>
      <c r="J359" s="94"/>
    </row>
    <row r="360" spans="1:10">
      <c r="A360" s="95"/>
      <c r="B360" s="98" t="s">
        <v>228</v>
      </c>
      <c r="C360" s="93"/>
      <c r="D360" s="93"/>
      <c r="E360" s="93"/>
      <c r="F360" s="93"/>
      <c r="G360" s="93"/>
      <c r="H360" s="93"/>
      <c r="I360" s="93"/>
      <c r="J360" s="94"/>
    </row>
    <row r="361" spans="1:10">
      <c r="A361" s="95"/>
      <c r="B361" s="93"/>
      <c r="C361" s="93"/>
      <c r="D361" s="93"/>
      <c r="E361" s="93"/>
      <c r="F361" s="93"/>
      <c r="G361" s="93"/>
      <c r="H361" s="93"/>
      <c r="I361" s="93"/>
      <c r="J361" s="94"/>
    </row>
    <row r="362" spans="1:10">
      <c r="A362" s="95"/>
      <c r="B362" s="93"/>
      <c r="C362" s="93"/>
      <c r="D362" s="93"/>
      <c r="E362" s="93"/>
      <c r="F362" s="93"/>
      <c r="G362" s="93"/>
      <c r="H362" s="93"/>
      <c r="I362" s="93"/>
      <c r="J362" s="94"/>
    </row>
    <row r="363" spans="1:10">
      <c r="A363" s="95"/>
      <c r="B363" s="93"/>
      <c r="C363" s="93"/>
      <c r="D363" s="93"/>
      <c r="E363" s="93"/>
      <c r="F363" s="93"/>
      <c r="G363" s="93"/>
      <c r="H363" s="93"/>
      <c r="I363" s="93"/>
      <c r="J363" s="94"/>
    </row>
    <row r="364" spans="1:10">
      <c r="A364" s="95"/>
      <c r="B364" s="93"/>
      <c r="C364" s="93"/>
      <c r="D364" s="93"/>
      <c r="E364" s="93"/>
      <c r="F364" s="93"/>
      <c r="G364" s="93"/>
      <c r="H364" s="93"/>
      <c r="I364" s="93"/>
      <c r="J364" s="94"/>
    </row>
    <row r="365" spans="1:10">
      <c r="A365" s="95"/>
      <c r="B365" s="93"/>
      <c r="C365" s="93"/>
      <c r="D365" s="93"/>
      <c r="E365" s="93"/>
      <c r="F365" s="93"/>
      <c r="G365" s="93"/>
      <c r="H365" s="93"/>
      <c r="I365" s="93"/>
      <c r="J365" s="94"/>
    </row>
    <row r="366" spans="1:10">
      <c r="A366" s="95"/>
      <c r="B366" s="93"/>
      <c r="C366" s="93"/>
      <c r="D366" s="93"/>
      <c r="E366" s="93"/>
      <c r="F366" s="93"/>
      <c r="G366" s="93"/>
      <c r="H366" s="93"/>
      <c r="I366" s="93"/>
      <c r="J366" s="94"/>
    </row>
    <row r="367" spans="1:10">
      <c r="A367" s="95"/>
      <c r="B367" s="93"/>
      <c r="C367" s="93"/>
      <c r="D367" s="93"/>
      <c r="E367" s="93"/>
      <c r="F367" s="93"/>
      <c r="G367" s="93"/>
      <c r="H367" s="93"/>
      <c r="I367" s="93"/>
      <c r="J367" s="94"/>
    </row>
    <row r="368" spans="1:10">
      <c r="A368" s="99" t="s">
        <v>423</v>
      </c>
      <c r="B368" s="105" t="s">
        <v>424</v>
      </c>
      <c r="C368" s="93"/>
      <c r="D368" s="93"/>
      <c r="E368" s="93"/>
      <c r="F368" s="93"/>
      <c r="G368" s="93"/>
      <c r="H368" s="93"/>
      <c r="I368" s="93"/>
      <c r="J368" s="94"/>
    </row>
    <row r="369" spans="1:10">
      <c r="A369" s="102">
        <v>21</v>
      </c>
      <c r="B369" s="98" t="s">
        <v>425</v>
      </c>
      <c r="C369" s="93"/>
      <c r="D369" s="93"/>
      <c r="E369" s="93"/>
      <c r="F369" s="93"/>
      <c r="G369" s="109">
        <v>8027370880</v>
      </c>
      <c r="H369" s="93"/>
      <c r="I369" s="93"/>
      <c r="J369" s="94"/>
    </row>
    <row r="370" spans="1:10">
      <c r="A370" s="95"/>
      <c r="B370" s="93"/>
      <c r="C370" s="93"/>
      <c r="D370" s="93"/>
      <c r="E370" s="93"/>
      <c r="F370" s="93"/>
      <c r="G370" s="101"/>
      <c r="H370" s="93"/>
      <c r="I370" s="93"/>
      <c r="J370" s="94"/>
    </row>
    <row r="371" spans="1:10">
      <c r="A371" s="102">
        <v>22</v>
      </c>
      <c r="B371" s="98" t="s">
        <v>428</v>
      </c>
      <c r="C371" s="93"/>
      <c r="D371" s="93"/>
      <c r="E371" s="93"/>
      <c r="F371" s="93"/>
      <c r="G371" s="104">
        <v>0</v>
      </c>
      <c r="H371" s="93"/>
      <c r="I371" s="93"/>
      <c r="J371" s="94"/>
    </row>
    <row r="372" spans="1:10">
      <c r="A372" s="95"/>
      <c r="B372" s="93"/>
      <c r="C372" s="93"/>
      <c r="D372" s="93"/>
      <c r="E372" s="93"/>
      <c r="F372" s="93"/>
      <c r="G372" s="93"/>
      <c r="H372" s="93"/>
      <c r="I372" s="93"/>
      <c r="J372" s="94"/>
    </row>
    <row r="373" spans="1:10">
      <c r="A373" s="102">
        <v>23</v>
      </c>
      <c r="B373" s="98" t="s">
        <v>429</v>
      </c>
      <c r="C373" s="93"/>
      <c r="D373" s="93"/>
      <c r="E373" s="93"/>
      <c r="F373" s="93"/>
      <c r="G373" s="101">
        <v>1112278383</v>
      </c>
      <c r="H373" s="93"/>
      <c r="I373" s="93"/>
      <c r="J373" s="94"/>
    </row>
    <row r="374" spans="1:10">
      <c r="A374" s="95"/>
      <c r="B374" s="93"/>
      <c r="C374" s="93"/>
      <c r="D374" s="93"/>
      <c r="E374" s="93"/>
      <c r="F374" s="93"/>
      <c r="G374" s="101"/>
      <c r="H374" s="93"/>
      <c r="I374" s="93"/>
      <c r="J374" s="94"/>
    </row>
    <row r="375" spans="1:10">
      <c r="A375" s="102">
        <v>24</v>
      </c>
      <c r="B375" s="98" t="s">
        <v>431</v>
      </c>
      <c r="C375" s="93"/>
      <c r="D375" s="93"/>
      <c r="E375" s="93"/>
      <c r="F375" s="93"/>
      <c r="G375" s="101">
        <v>0</v>
      </c>
      <c r="H375" s="93"/>
      <c r="I375" s="93"/>
      <c r="J375" s="94"/>
    </row>
    <row r="376" spans="1:10">
      <c r="A376" s="95"/>
      <c r="B376" s="93"/>
      <c r="C376" s="93"/>
      <c r="D376" s="93"/>
      <c r="E376" s="93"/>
      <c r="F376" s="93"/>
      <c r="G376" s="101"/>
      <c r="H376" s="93"/>
      <c r="I376" s="93"/>
      <c r="J376" s="94"/>
    </row>
    <row r="377" spans="1:10">
      <c r="A377" s="102">
        <v>25</v>
      </c>
      <c r="B377" s="98" t="s">
        <v>432</v>
      </c>
      <c r="C377" s="93"/>
      <c r="D377" s="93"/>
      <c r="E377" s="93"/>
      <c r="F377" s="93"/>
      <c r="G377" s="101">
        <v>261781983</v>
      </c>
      <c r="H377" s="93"/>
      <c r="I377" s="93"/>
      <c r="J377" s="94"/>
    </row>
    <row r="378" spans="1:10">
      <c r="A378" s="95"/>
      <c r="B378" s="93"/>
      <c r="C378" s="93"/>
      <c r="D378" s="93"/>
      <c r="E378" s="93"/>
      <c r="F378" s="93"/>
      <c r="G378" s="93"/>
      <c r="H378" s="93"/>
      <c r="I378" s="93"/>
      <c r="J378" s="94"/>
    </row>
    <row r="379" spans="1:10">
      <c r="A379" s="102">
        <v>26</v>
      </c>
      <c r="B379" s="105" t="s">
        <v>434</v>
      </c>
      <c r="C379" s="93"/>
      <c r="D379" s="93"/>
      <c r="E379" s="93"/>
      <c r="F379" s="93"/>
      <c r="G379" s="106">
        <f>SUM(G369:G378)</f>
        <v>9401431246</v>
      </c>
      <c r="H379" s="93"/>
      <c r="I379" s="93"/>
      <c r="J379" s="94"/>
    </row>
    <row r="380" spans="1:10">
      <c r="A380" s="95"/>
      <c r="B380" s="93"/>
      <c r="C380" s="93"/>
      <c r="D380" s="93"/>
      <c r="E380" s="93"/>
      <c r="F380" s="93"/>
      <c r="G380" s="93"/>
      <c r="H380" s="93"/>
      <c r="I380" s="93"/>
      <c r="J380" s="94"/>
    </row>
    <row r="381" spans="1:10">
      <c r="A381" s="102">
        <v>27</v>
      </c>
      <c r="B381" s="98" t="s">
        <v>556</v>
      </c>
      <c r="C381" s="93"/>
      <c r="D381" s="93"/>
      <c r="E381" s="93"/>
      <c r="F381" s="93"/>
      <c r="G381" s="109">
        <v>183866302</v>
      </c>
      <c r="H381" s="93"/>
      <c r="I381" s="93"/>
      <c r="J381" s="94"/>
    </row>
    <row r="382" spans="1:10">
      <c r="A382" s="95"/>
      <c r="B382" s="93"/>
      <c r="C382" s="93"/>
      <c r="D382" s="93"/>
      <c r="E382" s="93"/>
      <c r="F382" s="93"/>
      <c r="G382" s="93"/>
      <c r="H382" s="93"/>
      <c r="I382" s="93"/>
      <c r="J382" s="94"/>
    </row>
    <row r="383" spans="1:10">
      <c r="A383" s="95"/>
      <c r="B383" s="98" t="s">
        <v>436</v>
      </c>
      <c r="C383" s="93"/>
      <c r="D383" s="93"/>
      <c r="E383" s="93"/>
      <c r="F383" s="93"/>
      <c r="G383" s="93"/>
      <c r="H383" s="93"/>
      <c r="I383" s="93"/>
      <c r="J383" s="94"/>
    </row>
    <row r="384" spans="1:10">
      <c r="A384" s="95"/>
      <c r="B384" s="98" t="s">
        <v>437</v>
      </c>
      <c r="C384" s="93"/>
      <c r="D384" s="93"/>
      <c r="E384" s="93"/>
      <c r="F384" s="93"/>
      <c r="G384" s="93"/>
      <c r="H384" s="93"/>
      <c r="I384" s="93"/>
      <c r="J384" s="94"/>
    </row>
    <row r="385" spans="1:10">
      <c r="A385" s="95"/>
      <c r="B385" s="93"/>
      <c r="C385" s="93"/>
      <c r="D385" s="93"/>
      <c r="E385" s="93"/>
      <c r="F385" s="93"/>
      <c r="G385" s="93"/>
      <c r="H385" s="93"/>
      <c r="I385" s="93"/>
      <c r="J385" s="94"/>
    </row>
    <row r="386" spans="1:10">
      <c r="A386" s="102">
        <v>28</v>
      </c>
      <c r="B386" s="98" t="s">
        <v>431</v>
      </c>
      <c r="C386" s="93"/>
      <c r="D386" s="93"/>
      <c r="E386" s="93"/>
      <c r="F386" s="93"/>
      <c r="G386" s="104">
        <v>0</v>
      </c>
      <c r="H386" s="93"/>
      <c r="I386" s="93"/>
      <c r="J386" s="94"/>
    </row>
    <row r="387" spans="1:10">
      <c r="A387" s="95"/>
      <c r="B387" s="93"/>
      <c r="C387" s="93"/>
      <c r="D387" s="93"/>
      <c r="E387" s="93"/>
      <c r="F387" s="93"/>
      <c r="G387" s="93"/>
      <c r="H387" s="93"/>
      <c r="I387" s="93"/>
      <c r="J387" s="94"/>
    </row>
    <row r="388" spans="1:10">
      <c r="A388" s="102">
        <v>29</v>
      </c>
      <c r="B388" s="98" t="s">
        <v>557</v>
      </c>
      <c r="C388" s="93"/>
      <c r="D388" s="93"/>
      <c r="E388" s="93"/>
      <c r="F388" s="93"/>
      <c r="G388" s="101">
        <v>0</v>
      </c>
      <c r="H388" s="93"/>
      <c r="I388" s="93"/>
      <c r="J388" s="94"/>
    </row>
    <row r="389" spans="1:10">
      <c r="A389" s="95"/>
      <c r="B389" s="93"/>
      <c r="C389" s="93"/>
      <c r="D389" s="93"/>
      <c r="E389" s="93"/>
      <c r="F389" s="93"/>
      <c r="G389" s="93"/>
      <c r="H389" s="93"/>
      <c r="I389" s="93"/>
      <c r="J389" s="94"/>
    </row>
    <row r="390" spans="1:10">
      <c r="A390" s="102">
        <v>30</v>
      </c>
      <c r="B390" s="98" t="s">
        <v>438</v>
      </c>
      <c r="C390" s="93"/>
      <c r="D390" s="93"/>
      <c r="E390" s="93"/>
      <c r="F390" s="93"/>
      <c r="G390" s="93">
        <v>0</v>
      </c>
      <c r="H390" s="93"/>
      <c r="I390" s="93"/>
      <c r="J390" s="94"/>
    </row>
    <row r="391" spans="1:10">
      <c r="A391" s="102">
        <v>31</v>
      </c>
      <c r="B391" s="105" t="s">
        <v>441</v>
      </c>
      <c r="C391" s="93"/>
      <c r="D391" s="93"/>
      <c r="E391" s="93"/>
      <c r="F391" s="93"/>
      <c r="G391" s="106">
        <f>G379-G381-G386-G388-G390</f>
        <v>9217564944</v>
      </c>
      <c r="H391" s="93"/>
      <c r="I391" s="93"/>
      <c r="J391" s="94"/>
    </row>
    <row r="392" spans="1:10">
      <c r="A392" s="95"/>
      <c r="B392" s="93"/>
      <c r="C392" s="93"/>
      <c r="D392" s="93"/>
      <c r="E392" s="93"/>
      <c r="F392" s="93"/>
      <c r="G392" s="101"/>
      <c r="H392" s="93"/>
      <c r="I392" s="93"/>
      <c r="J392" s="94"/>
    </row>
    <row r="393" spans="1:10">
      <c r="A393" s="99" t="s">
        <v>442</v>
      </c>
      <c r="B393" s="105" t="s">
        <v>443</v>
      </c>
      <c r="C393" s="93"/>
      <c r="D393" s="93"/>
      <c r="E393" s="93"/>
      <c r="F393" s="93"/>
      <c r="G393" s="93"/>
      <c r="H393" s="93"/>
      <c r="I393" s="93"/>
      <c r="J393" s="94"/>
    </row>
    <row r="394" spans="1:10">
      <c r="A394" s="102">
        <v>32</v>
      </c>
      <c r="B394" s="98" t="s">
        <v>444</v>
      </c>
      <c r="C394" s="93"/>
      <c r="D394" s="93"/>
      <c r="E394" s="93"/>
      <c r="F394" s="93"/>
      <c r="G394" s="101">
        <f>4599096246.76</f>
        <v>4599096246.7600002</v>
      </c>
      <c r="H394" s="93"/>
      <c r="I394" s="93"/>
      <c r="J394" s="94"/>
    </row>
    <row r="395" spans="1:10">
      <c r="A395" s="95"/>
      <c r="B395" s="93"/>
      <c r="C395" s="93"/>
      <c r="D395" s="93"/>
      <c r="E395" s="93"/>
      <c r="F395" s="93"/>
      <c r="G395" s="93"/>
      <c r="H395" s="93"/>
      <c r="I395" s="93"/>
      <c r="J395" s="94"/>
    </row>
    <row r="396" spans="1:10">
      <c r="A396" s="102">
        <v>33</v>
      </c>
      <c r="B396" s="98" t="s">
        <v>445</v>
      </c>
      <c r="C396" s="93"/>
      <c r="D396" s="93"/>
      <c r="E396" s="93"/>
      <c r="F396" s="93"/>
      <c r="G396" s="104">
        <v>0</v>
      </c>
      <c r="H396" s="93"/>
      <c r="I396" s="93"/>
      <c r="J396" s="94"/>
    </row>
    <row r="397" spans="1:10">
      <c r="A397" s="95"/>
      <c r="B397" s="93"/>
      <c r="C397" s="93"/>
      <c r="D397" s="93"/>
      <c r="E397" s="93"/>
      <c r="F397" s="93"/>
      <c r="G397" s="93"/>
      <c r="H397" s="93"/>
      <c r="I397" s="93"/>
      <c r="J397" s="94"/>
    </row>
    <row r="398" spans="1:10">
      <c r="A398" s="102">
        <v>34</v>
      </c>
      <c r="B398" s="98" t="s">
        <v>446</v>
      </c>
      <c r="C398" s="93"/>
      <c r="D398" s="93"/>
      <c r="E398" s="93"/>
      <c r="F398" s="93"/>
      <c r="G398" s="101">
        <v>0</v>
      </c>
      <c r="H398" s="93"/>
      <c r="I398" s="93"/>
      <c r="J398" s="94"/>
    </row>
    <row r="399" spans="1:10">
      <c r="A399" s="95"/>
      <c r="B399" s="93"/>
      <c r="C399" s="93"/>
      <c r="D399" s="93"/>
      <c r="E399" s="93"/>
      <c r="F399" s="93"/>
      <c r="G399" s="101"/>
      <c r="H399" s="93"/>
      <c r="I399" s="93"/>
      <c r="J399" s="94"/>
    </row>
    <row r="400" spans="1:10">
      <c r="A400" s="102">
        <v>35</v>
      </c>
      <c r="B400" s="98" t="s">
        <v>447</v>
      </c>
      <c r="C400" s="93"/>
      <c r="D400" s="93"/>
      <c r="E400" s="93"/>
      <c r="F400" s="93"/>
      <c r="G400" s="101">
        <v>0</v>
      </c>
      <c r="H400" s="93"/>
      <c r="I400" s="93"/>
      <c r="J400" s="94"/>
    </row>
    <row r="401" spans="1:10">
      <c r="A401" s="95"/>
      <c r="B401" s="93"/>
      <c r="C401" s="93"/>
      <c r="D401" s="93"/>
      <c r="E401" s="93"/>
      <c r="F401" s="93"/>
      <c r="G401" s="93"/>
      <c r="H401" s="93"/>
      <c r="I401" s="93"/>
      <c r="J401" s="94"/>
    </row>
    <row r="402" spans="1:10">
      <c r="A402" s="102">
        <v>36</v>
      </c>
      <c r="B402" s="98" t="s">
        <v>448</v>
      </c>
      <c r="C402" s="93"/>
      <c r="D402" s="93"/>
      <c r="E402" s="93"/>
      <c r="F402" s="93"/>
      <c r="G402" s="104">
        <v>0</v>
      </c>
      <c r="H402" s="93"/>
      <c r="I402" s="93"/>
      <c r="J402" s="94"/>
    </row>
    <row r="403" spans="1:10">
      <c r="A403" s="95"/>
      <c r="B403" s="93"/>
      <c r="C403" s="93"/>
      <c r="D403" s="93"/>
      <c r="E403" s="93"/>
      <c r="F403" s="93"/>
      <c r="G403" s="93"/>
      <c r="H403" s="93"/>
      <c r="I403" s="93"/>
      <c r="J403" s="94"/>
    </row>
    <row r="404" spans="1:10">
      <c r="A404" s="102">
        <v>37</v>
      </c>
      <c r="B404" s="98" t="s">
        <v>451</v>
      </c>
      <c r="C404" s="93"/>
      <c r="D404" s="93"/>
      <c r="E404" s="93"/>
      <c r="F404" s="93"/>
      <c r="G404" s="101">
        <f>4652289110.58-4599096247</f>
        <v>53192863.579999924</v>
      </c>
      <c r="H404" s="93"/>
      <c r="I404" s="93"/>
      <c r="J404" s="94"/>
    </row>
    <row r="405" spans="1:10">
      <c r="A405" s="95"/>
      <c r="B405" s="93"/>
      <c r="C405" s="93"/>
      <c r="D405" s="93"/>
      <c r="E405" s="93"/>
      <c r="F405" s="93"/>
      <c r="G405" s="93"/>
      <c r="H405" s="93"/>
      <c r="I405" s="93"/>
      <c r="J405" s="94"/>
    </row>
    <row r="406" spans="1:10">
      <c r="A406" s="102">
        <v>38</v>
      </c>
      <c r="B406" s="98" t="s">
        <v>450</v>
      </c>
      <c r="C406" s="93"/>
      <c r="D406" s="93"/>
      <c r="E406" s="93"/>
      <c r="F406" s="93"/>
      <c r="G406" s="104">
        <v>0</v>
      </c>
      <c r="H406" s="93"/>
      <c r="I406" s="93"/>
      <c r="J406" s="94"/>
    </row>
    <row r="407" spans="1:10">
      <c r="A407" s="95"/>
      <c r="B407" s="93"/>
      <c r="C407" s="93"/>
      <c r="D407" s="93"/>
      <c r="E407" s="93"/>
      <c r="F407" s="93"/>
      <c r="G407" s="101"/>
      <c r="H407" s="93"/>
      <c r="I407" s="93"/>
      <c r="J407" s="94"/>
    </row>
    <row r="408" spans="1:10">
      <c r="A408" s="102">
        <v>39</v>
      </c>
      <c r="B408" s="105" t="s">
        <v>452</v>
      </c>
      <c r="C408" s="93"/>
      <c r="D408" s="93"/>
      <c r="E408" s="93"/>
      <c r="F408" s="93"/>
      <c r="G408" s="106">
        <f>SUM(G394:G406)</f>
        <v>4652289110.3400002</v>
      </c>
      <c r="H408" s="93"/>
      <c r="I408" s="93"/>
      <c r="J408" s="94"/>
    </row>
    <row r="409" spans="1:10">
      <c r="A409" s="95"/>
      <c r="B409" s="93"/>
      <c r="C409" s="93"/>
      <c r="D409" s="93"/>
      <c r="E409" s="93"/>
      <c r="F409" s="93"/>
      <c r="G409" s="101"/>
      <c r="H409" s="93"/>
      <c r="I409" s="93"/>
      <c r="J409" s="94"/>
    </row>
    <row r="410" spans="1:10">
      <c r="A410" s="95"/>
      <c r="B410" s="93"/>
      <c r="C410" s="93"/>
      <c r="D410" s="93"/>
      <c r="E410" s="93"/>
      <c r="F410" s="93"/>
      <c r="G410" s="101"/>
      <c r="H410" s="93"/>
      <c r="I410" s="93"/>
      <c r="J410" s="94"/>
    </row>
    <row r="411" spans="1:10">
      <c r="A411" s="99" t="s">
        <v>453</v>
      </c>
      <c r="B411" s="105" t="s">
        <v>454</v>
      </c>
      <c r="C411" s="93"/>
      <c r="D411" s="93"/>
      <c r="E411" s="93"/>
      <c r="F411" s="93"/>
      <c r="G411" s="93"/>
      <c r="H411" s="93"/>
      <c r="I411" s="93"/>
      <c r="J411" s="94"/>
    </row>
    <row r="412" spans="1:10">
      <c r="A412" s="102">
        <v>40</v>
      </c>
      <c r="B412" s="98" t="s">
        <v>428</v>
      </c>
      <c r="C412" s="93"/>
      <c r="D412" s="93"/>
      <c r="E412" s="93"/>
      <c r="F412" s="93"/>
      <c r="G412" s="101">
        <f>145601916</f>
        <v>145601916</v>
      </c>
      <c r="H412" s="93"/>
      <c r="I412" s="93"/>
      <c r="J412" s="94"/>
    </row>
    <row r="413" spans="1:10">
      <c r="A413" s="95"/>
      <c r="B413" s="93"/>
      <c r="C413" s="93"/>
      <c r="D413" s="93"/>
      <c r="E413" s="93"/>
      <c r="F413" s="93"/>
      <c r="G413" s="93"/>
      <c r="H413" s="93"/>
      <c r="I413" s="93"/>
      <c r="J413" s="94"/>
    </row>
    <row r="414" spans="1:10">
      <c r="A414" s="102">
        <v>41</v>
      </c>
      <c r="B414" s="98" t="s">
        <v>456</v>
      </c>
      <c r="C414" s="93"/>
      <c r="D414" s="93"/>
      <c r="E414" s="93"/>
      <c r="F414" s="93"/>
      <c r="G414" s="93"/>
      <c r="H414" s="93"/>
      <c r="I414" s="93"/>
      <c r="J414" s="94"/>
    </row>
    <row r="415" spans="1:10">
      <c r="A415" s="95"/>
      <c r="B415" s="98" t="s">
        <v>457</v>
      </c>
      <c r="C415" s="93"/>
      <c r="D415" s="93"/>
      <c r="E415" s="93"/>
      <c r="F415" s="93"/>
      <c r="G415" s="109">
        <f>560126618+97617163</f>
        <v>657743781</v>
      </c>
      <c r="H415" s="93"/>
      <c r="I415" s="93"/>
      <c r="J415" s="94"/>
    </row>
    <row r="416" spans="1:10">
      <c r="A416" s="95"/>
      <c r="B416" s="93"/>
      <c r="C416" s="93"/>
      <c r="D416" s="93"/>
      <c r="E416" s="93"/>
      <c r="F416" s="93"/>
      <c r="G416" s="101"/>
      <c r="H416" s="93"/>
      <c r="I416" s="93"/>
      <c r="J416" s="94"/>
    </row>
    <row r="417" spans="1:10">
      <c r="A417" s="102">
        <v>42</v>
      </c>
      <c r="B417" s="98" t="s">
        <v>466</v>
      </c>
      <c r="C417" s="93"/>
      <c r="D417" s="93"/>
      <c r="E417" s="93"/>
      <c r="F417" s="93"/>
      <c r="G417" s="101">
        <f>160298278+48000000</f>
        <v>208298278</v>
      </c>
      <c r="H417" s="93"/>
      <c r="I417" s="93"/>
      <c r="J417" s="94"/>
    </row>
    <row r="418" spans="1:10">
      <c r="A418" s="95"/>
      <c r="B418" s="93"/>
      <c r="C418" s="93"/>
      <c r="D418" s="93"/>
      <c r="E418" s="93"/>
      <c r="F418" s="93" t="s">
        <v>228</v>
      </c>
      <c r="G418" s="93"/>
      <c r="H418" s="93"/>
      <c r="I418" s="93"/>
      <c r="J418" s="94"/>
    </row>
    <row r="419" spans="1:10">
      <c r="A419" s="102">
        <v>43</v>
      </c>
      <c r="B419" s="98" t="s">
        <v>468</v>
      </c>
      <c r="C419" s="93"/>
      <c r="D419" s="93"/>
      <c r="E419" s="93"/>
      <c r="F419" s="93"/>
      <c r="G419" s="101">
        <v>678336031</v>
      </c>
      <c r="H419" s="93"/>
      <c r="I419" s="93"/>
      <c r="J419" s="94"/>
    </row>
    <row r="420" spans="1:10">
      <c r="A420" s="95"/>
      <c r="B420" s="93"/>
      <c r="C420" s="93"/>
      <c r="D420" s="93"/>
      <c r="E420" s="93"/>
      <c r="F420" s="93"/>
      <c r="G420" s="93"/>
      <c r="H420" s="93"/>
      <c r="I420" s="93"/>
      <c r="J420" s="94"/>
    </row>
    <row r="421" spans="1:10">
      <c r="A421" s="102">
        <v>44</v>
      </c>
      <c r="B421" s="98" t="s">
        <v>471</v>
      </c>
      <c r="C421" s="93"/>
      <c r="D421" s="93"/>
      <c r="E421" s="93"/>
      <c r="F421" s="93"/>
      <c r="G421" s="101">
        <f>32630181+9068932</f>
        <v>41699113</v>
      </c>
      <c r="H421" s="93"/>
      <c r="I421" s="93"/>
      <c r="J421" s="94"/>
    </row>
    <row r="422" spans="1:10">
      <c r="A422" s="95"/>
      <c r="B422" s="93"/>
      <c r="C422" s="93"/>
      <c r="D422" s="93"/>
      <c r="E422" s="93"/>
      <c r="F422" s="93"/>
      <c r="G422" s="93"/>
      <c r="H422" s="93"/>
      <c r="I422" s="93"/>
      <c r="J422" s="94"/>
    </row>
    <row r="423" spans="1:10">
      <c r="A423" s="102">
        <v>45</v>
      </c>
      <c r="B423" s="98" t="s">
        <v>558</v>
      </c>
      <c r="C423" s="93"/>
      <c r="D423" s="93"/>
      <c r="E423" s="93"/>
      <c r="F423" s="93"/>
      <c r="G423" s="104">
        <v>0</v>
      </c>
      <c r="H423" s="93"/>
      <c r="I423" s="93"/>
      <c r="J423" s="94"/>
    </row>
    <row r="424" spans="1:10">
      <c r="A424" s="95"/>
      <c r="B424" s="93"/>
      <c r="C424" s="93"/>
      <c r="D424" s="93"/>
      <c r="E424" s="93"/>
      <c r="F424" s="93"/>
      <c r="G424" s="93"/>
      <c r="H424" s="93"/>
      <c r="I424" s="93"/>
      <c r="J424" s="94"/>
    </row>
    <row r="425" spans="1:10">
      <c r="A425" s="102">
        <v>46</v>
      </c>
      <c r="B425" s="98" t="s">
        <v>559</v>
      </c>
      <c r="C425" s="93"/>
      <c r="D425" s="93"/>
      <c r="E425" s="93"/>
      <c r="F425" s="93"/>
      <c r="G425" s="101">
        <v>0</v>
      </c>
      <c r="H425" s="93"/>
      <c r="I425" s="93"/>
      <c r="J425" s="94"/>
    </row>
    <row r="426" spans="1:10">
      <c r="A426" s="102"/>
      <c r="B426" s="98"/>
      <c r="C426" s="93"/>
      <c r="D426" s="93"/>
      <c r="E426" s="93"/>
      <c r="F426" s="93"/>
      <c r="G426" s="101"/>
      <c r="H426" s="93"/>
      <c r="I426" s="93"/>
      <c r="J426" s="94"/>
    </row>
    <row r="427" spans="1:10">
      <c r="A427" s="102">
        <v>47</v>
      </c>
      <c r="B427" s="98" t="s">
        <v>560</v>
      </c>
      <c r="C427" s="93"/>
      <c r="D427" s="93"/>
      <c r="E427" s="93"/>
      <c r="F427" s="93"/>
      <c r="G427" s="101">
        <v>0</v>
      </c>
      <c r="H427" s="93"/>
      <c r="I427" s="93"/>
      <c r="J427" s="94"/>
    </row>
    <row r="428" spans="1:10">
      <c r="A428" s="95"/>
      <c r="B428" s="93"/>
      <c r="C428" s="93"/>
      <c r="D428" s="93"/>
      <c r="E428" s="93"/>
      <c r="F428" s="93"/>
      <c r="G428" s="93"/>
      <c r="H428" s="93"/>
      <c r="I428" s="93"/>
      <c r="J428" s="94"/>
    </row>
    <row r="429" spans="1:10">
      <c r="A429" s="95">
        <v>48</v>
      </c>
      <c r="B429" s="93" t="s">
        <v>561</v>
      </c>
      <c r="C429" s="93"/>
      <c r="D429" s="93"/>
      <c r="E429" s="93"/>
      <c r="F429" s="93"/>
      <c r="G429" s="93">
        <v>0</v>
      </c>
      <c r="H429" s="93"/>
      <c r="I429" s="93"/>
      <c r="J429" s="94"/>
    </row>
    <row r="430" spans="1:10">
      <c r="A430" s="95"/>
      <c r="B430" s="93"/>
      <c r="C430" s="93"/>
      <c r="D430" s="93"/>
      <c r="E430" s="93"/>
      <c r="F430" s="93"/>
      <c r="G430" s="93"/>
      <c r="H430" s="93"/>
      <c r="I430" s="93"/>
      <c r="J430" s="94"/>
    </row>
    <row r="431" spans="1:10">
      <c r="A431" s="102">
        <v>49</v>
      </c>
      <c r="B431" s="98" t="s">
        <v>562</v>
      </c>
      <c r="C431" s="93"/>
      <c r="D431" s="93"/>
      <c r="E431" s="93"/>
      <c r="F431" s="93"/>
      <c r="G431" s="93"/>
      <c r="H431" s="93"/>
      <c r="I431" s="93"/>
      <c r="J431" s="94"/>
    </row>
    <row r="432" spans="1:10">
      <c r="A432" s="95"/>
      <c r="B432" s="98" t="s">
        <v>563</v>
      </c>
      <c r="C432" s="93"/>
      <c r="D432" s="93"/>
      <c r="E432" s="93"/>
      <c r="F432" s="93"/>
      <c r="G432" s="109">
        <f>910548643+10000000</f>
        <v>920548643</v>
      </c>
      <c r="H432" s="93"/>
      <c r="I432" s="93"/>
      <c r="J432" s="94"/>
    </row>
    <row r="433" spans="1:10">
      <c r="A433" s="102">
        <v>50</v>
      </c>
      <c r="B433" s="105" t="s">
        <v>486</v>
      </c>
      <c r="C433" s="93"/>
      <c r="D433" s="93"/>
      <c r="E433" s="93"/>
      <c r="F433" s="93"/>
      <c r="G433" s="106">
        <f>G412+G415+G417+G419+G421+G423+G425+G427+G429+G432</f>
        <v>2652227762</v>
      </c>
      <c r="H433" s="93"/>
      <c r="I433" s="93"/>
      <c r="J433" s="94"/>
    </row>
    <row r="434" spans="1:10">
      <c r="A434" s="95"/>
      <c r="B434" s="93"/>
      <c r="C434" s="93"/>
      <c r="D434" s="93"/>
      <c r="E434" s="93"/>
      <c r="F434" s="93"/>
      <c r="G434" s="93"/>
      <c r="H434" s="93"/>
      <c r="I434" s="93"/>
      <c r="J434" s="94"/>
    </row>
    <row r="435" spans="1:10">
      <c r="A435" s="102">
        <v>51</v>
      </c>
      <c r="B435" s="105" t="s">
        <v>487</v>
      </c>
      <c r="C435" s="93"/>
      <c r="D435" s="93"/>
      <c r="E435" s="93"/>
      <c r="F435" s="93"/>
      <c r="G435" s="106">
        <f>G408+G433</f>
        <v>7304516872.3400002</v>
      </c>
      <c r="H435" s="93"/>
      <c r="I435" s="93"/>
      <c r="J435" s="94"/>
    </row>
    <row r="436" spans="1:10">
      <c r="A436" s="95"/>
      <c r="B436" s="93"/>
      <c r="C436" s="93"/>
      <c r="D436" s="93"/>
      <c r="E436" s="93"/>
      <c r="F436" s="93"/>
      <c r="G436" s="101"/>
      <c r="H436" s="93"/>
      <c r="I436" s="93"/>
      <c r="J436" s="94"/>
    </row>
    <row r="437" spans="1:10">
      <c r="A437" s="95"/>
      <c r="B437" s="93"/>
      <c r="C437" s="93"/>
      <c r="D437" s="93"/>
      <c r="E437" s="93"/>
      <c r="F437" s="93"/>
      <c r="G437" s="93"/>
      <c r="H437" s="93"/>
      <c r="I437" s="93"/>
      <c r="J437" s="94"/>
    </row>
    <row r="438" spans="1:10">
      <c r="A438" s="99" t="s">
        <v>488</v>
      </c>
      <c r="B438" s="105" t="s">
        <v>489</v>
      </c>
      <c r="C438" s="93"/>
      <c r="D438" s="93"/>
      <c r="E438" s="93"/>
      <c r="F438" s="93"/>
      <c r="G438" s="93"/>
      <c r="H438" s="93"/>
      <c r="I438" s="93"/>
      <c r="J438" s="94"/>
    </row>
    <row r="439" spans="1:10">
      <c r="A439" s="102">
        <v>52</v>
      </c>
      <c r="B439" s="98" t="s">
        <v>564</v>
      </c>
      <c r="C439" s="93"/>
      <c r="D439" s="93"/>
      <c r="E439" s="93"/>
      <c r="F439" s="93"/>
      <c r="G439" s="101">
        <f>G391-G435</f>
        <v>1913048071.6599998</v>
      </c>
      <c r="H439" s="93"/>
      <c r="I439" s="93"/>
      <c r="J439" s="94"/>
    </row>
    <row r="440" spans="1:10">
      <c r="A440" s="95"/>
      <c r="B440" s="93"/>
      <c r="C440" s="93"/>
      <c r="D440" s="93"/>
      <c r="E440" s="93"/>
      <c r="F440" s="93"/>
      <c r="G440" s="93"/>
      <c r="H440" s="93"/>
      <c r="I440" s="93"/>
      <c r="J440" s="94"/>
    </row>
    <row r="441" spans="1:10">
      <c r="A441" s="102">
        <v>53</v>
      </c>
      <c r="B441" s="98" t="s">
        <v>493</v>
      </c>
      <c r="C441" s="93"/>
      <c r="D441" s="93"/>
      <c r="E441" s="93"/>
      <c r="F441" s="93"/>
      <c r="G441" s="101">
        <v>0</v>
      </c>
      <c r="H441" s="93"/>
      <c r="I441" s="93"/>
      <c r="J441" s="94"/>
    </row>
    <row r="442" spans="1:10">
      <c r="A442" s="95"/>
      <c r="B442" s="93"/>
      <c r="C442" s="93"/>
      <c r="D442" s="93"/>
      <c r="E442" s="93"/>
      <c r="F442" s="93"/>
      <c r="G442" s="93"/>
      <c r="H442" s="93"/>
      <c r="I442" s="93"/>
      <c r="J442" s="94"/>
    </row>
    <row r="443" spans="1:10">
      <c r="A443" s="102">
        <v>54</v>
      </c>
      <c r="B443" s="98" t="s">
        <v>494</v>
      </c>
      <c r="C443" s="93"/>
      <c r="D443" s="93"/>
      <c r="E443" s="93"/>
      <c r="F443" s="93"/>
      <c r="G443" s="101">
        <f>G528</f>
        <v>0</v>
      </c>
      <c r="H443" s="93"/>
      <c r="I443" s="93"/>
      <c r="J443" s="94"/>
    </row>
    <row r="444" spans="1:10">
      <c r="A444" s="95"/>
      <c r="B444" s="93"/>
      <c r="C444" s="93"/>
      <c r="D444" s="93"/>
      <c r="E444" s="93"/>
      <c r="F444" s="93"/>
      <c r="G444" s="93"/>
      <c r="H444" s="93"/>
      <c r="I444" s="93"/>
      <c r="J444" s="94"/>
    </row>
    <row r="445" spans="1:10">
      <c r="A445" s="95"/>
      <c r="B445" s="98" t="s">
        <v>495</v>
      </c>
      <c r="C445" s="93"/>
      <c r="D445" s="93"/>
      <c r="E445" s="93"/>
      <c r="F445" s="93"/>
      <c r="G445" s="93"/>
      <c r="H445" s="93"/>
      <c r="I445" s="93"/>
      <c r="J445" s="94"/>
    </row>
    <row r="446" spans="1:10">
      <c r="A446" s="102">
        <v>55</v>
      </c>
      <c r="B446" s="98" t="s">
        <v>496</v>
      </c>
      <c r="C446" s="93"/>
      <c r="D446" s="93"/>
      <c r="E446" s="93"/>
      <c r="F446" s="93"/>
      <c r="G446" s="104">
        <v>0</v>
      </c>
      <c r="H446" s="93"/>
      <c r="I446" s="93"/>
      <c r="J446" s="94"/>
    </row>
    <row r="447" spans="1:10">
      <c r="A447" s="95"/>
      <c r="B447" s="93"/>
      <c r="C447" s="93"/>
      <c r="D447" s="93"/>
      <c r="E447" s="93"/>
      <c r="F447" s="93"/>
      <c r="G447" s="93"/>
      <c r="H447" s="93"/>
      <c r="I447" s="93"/>
      <c r="J447" s="94"/>
    </row>
    <row r="448" spans="1:10">
      <c r="A448" s="102">
        <v>56</v>
      </c>
      <c r="B448" s="98" t="s">
        <v>497</v>
      </c>
      <c r="C448" s="93"/>
      <c r="D448" s="93"/>
      <c r="E448" s="93"/>
      <c r="F448" s="93"/>
      <c r="G448" s="104">
        <v>0</v>
      </c>
      <c r="H448" s="93"/>
      <c r="I448" s="93"/>
      <c r="J448" s="94"/>
    </row>
    <row r="449" spans="1:10">
      <c r="A449" s="102"/>
      <c r="B449" s="98"/>
      <c r="C449" s="93"/>
      <c r="D449" s="93"/>
      <c r="E449" s="93"/>
      <c r="F449" s="93"/>
      <c r="G449" s="104"/>
      <c r="H449" s="93"/>
      <c r="I449" s="93"/>
      <c r="J449" s="94"/>
    </row>
    <row r="450" spans="1:10">
      <c r="A450" s="102">
        <v>57</v>
      </c>
      <c r="B450" s="98" t="s">
        <v>498</v>
      </c>
      <c r="C450" s="93"/>
      <c r="D450" s="93"/>
      <c r="E450" s="93"/>
      <c r="F450" s="93"/>
      <c r="G450" s="104">
        <v>0</v>
      </c>
      <c r="H450" s="93"/>
      <c r="I450" s="93"/>
      <c r="J450" s="94"/>
    </row>
    <row r="451" spans="1:10">
      <c r="A451" s="95"/>
      <c r="B451" s="93"/>
      <c r="C451" s="93"/>
      <c r="D451" s="93"/>
      <c r="E451" s="93"/>
      <c r="F451" s="93"/>
      <c r="G451" s="93"/>
      <c r="H451" s="93"/>
      <c r="I451" s="93"/>
      <c r="J451" s="94"/>
    </row>
    <row r="452" spans="1:10">
      <c r="A452" s="102">
        <v>58</v>
      </c>
      <c r="B452" s="105" t="s">
        <v>499</v>
      </c>
      <c r="C452" s="93"/>
      <c r="D452" s="93"/>
      <c r="E452" s="93"/>
      <c r="F452" s="93"/>
      <c r="G452" s="110">
        <f>G446+G448+G450</f>
        <v>0</v>
      </c>
      <c r="H452" s="93"/>
      <c r="I452" s="93"/>
      <c r="J452" s="94"/>
    </row>
    <row r="453" spans="1:10">
      <c r="A453" s="95"/>
      <c r="B453" s="93"/>
      <c r="C453" s="93"/>
      <c r="D453" s="93"/>
      <c r="E453" s="93"/>
      <c r="F453" s="93"/>
      <c r="G453" s="93"/>
      <c r="H453" s="93"/>
      <c r="I453" s="93"/>
      <c r="J453" s="94"/>
    </row>
    <row r="454" spans="1:10">
      <c r="A454" s="102">
        <v>59</v>
      </c>
      <c r="B454" s="105" t="s">
        <v>500</v>
      </c>
      <c r="C454" s="93"/>
      <c r="D454" s="93"/>
      <c r="E454" s="93"/>
      <c r="F454" s="93"/>
      <c r="G454" s="106">
        <f>G439-G452</f>
        <v>1913048071.6599998</v>
      </c>
      <c r="H454" s="93"/>
      <c r="I454" s="93"/>
      <c r="J454" s="94"/>
    </row>
    <row r="455" spans="1:10">
      <c r="A455" s="95"/>
      <c r="B455" s="93"/>
      <c r="C455" s="93"/>
      <c r="D455" s="93"/>
      <c r="E455" s="93"/>
      <c r="F455" s="93"/>
      <c r="G455" s="93"/>
      <c r="H455" s="93"/>
      <c r="I455" s="93"/>
      <c r="J455" s="94"/>
    </row>
    <row r="456" spans="1:10">
      <c r="A456" s="102" t="s">
        <v>565</v>
      </c>
      <c r="B456" s="98" t="s">
        <v>502</v>
      </c>
      <c r="C456" s="93"/>
      <c r="D456" s="93"/>
      <c r="E456" s="93"/>
      <c r="F456" s="93"/>
      <c r="G456" s="93"/>
      <c r="H456" s="93"/>
      <c r="I456" s="93"/>
      <c r="J456" s="94"/>
    </row>
    <row r="457" spans="1:10">
      <c r="A457" s="95"/>
      <c r="B457" s="98" t="s">
        <v>503</v>
      </c>
      <c r="C457" s="93"/>
      <c r="D457" s="93"/>
      <c r="E457" s="93"/>
      <c r="F457" s="93"/>
      <c r="G457" s="104">
        <v>0</v>
      </c>
      <c r="H457" s="93"/>
      <c r="I457" s="93"/>
      <c r="J457" s="94"/>
    </row>
    <row r="458" spans="1:10">
      <c r="A458" s="95"/>
      <c r="B458" s="93"/>
      <c r="C458" s="93"/>
      <c r="D458" s="93"/>
      <c r="E458" s="93"/>
      <c r="F458" s="93"/>
      <c r="G458" s="93"/>
      <c r="H458" s="93"/>
      <c r="I458" s="93"/>
      <c r="J458" s="94"/>
    </row>
    <row r="459" spans="1:10">
      <c r="A459" s="95"/>
      <c r="B459" s="98" t="s">
        <v>504</v>
      </c>
      <c r="C459" s="93"/>
      <c r="D459" s="93"/>
      <c r="E459" s="93"/>
      <c r="F459" s="93"/>
      <c r="G459" s="101">
        <v>0</v>
      </c>
      <c r="H459" s="93"/>
      <c r="I459" s="93"/>
      <c r="J459" s="94"/>
    </row>
    <row r="460" spans="1:10">
      <c r="A460" s="95"/>
      <c r="B460" s="93"/>
      <c r="C460" s="93"/>
      <c r="D460" s="93"/>
      <c r="E460" s="93"/>
      <c r="F460" s="93"/>
      <c r="G460" s="101"/>
      <c r="H460" s="93"/>
      <c r="I460" s="93"/>
      <c r="J460" s="94"/>
    </row>
    <row r="461" spans="1:10">
      <c r="A461" s="95"/>
      <c r="B461" s="98" t="s">
        <v>505</v>
      </c>
      <c r="C461" s="93"/>
      <c r="D461" s="93"/>
      <c r="E461" s="93"/>
      <c r="F461" s="93"/>
      <c r="G461" s="101">
        <v>0</v>
      </c>
      <c r="H461" s="93"/>
      <c r="I461" s="93"/>
      <c r="J461" s="94"/>
    </row>
    <row r="462" spans="1:10">
      <c r="A462" s="95"/>
      <c r="B462" s="93"/>
      <c r="C462" s="93"/>
      <c r="D462" s="93"/>
      <c r="E462" s="93"/>
      <c r="F462" s="93"/>
      <c r="G462" s="101"/>
      <c r="H462" s="93"/>
      <c r="I462" s="93"/>
      <c r="J462" s="94"/>
    </row>
    <row r="463" spans="1:10">
      <c r="A463" s="99" t="s">
        <v>506</v>
      </c>
      <c r="B463" s="105" t="s">
        <v>507</v>
      </c>
      <c r="C463" s="93"/>
      <c r="D463" s="93"/>
      <c r="E463" s="93"/>
      <c r="F463" s="93"/>
      <c r="G463" s="101"/>
      <c r="H463" s="93"/>
      <c r="I463" s="93"/>
      <c r="J463" s="94"/>
    </row>
    <row r="464" spans="1:10">
      <c r="A464" s="102">
        <v>61</v>
      </c>
      <c r="B464" s="98" t="s">
        <v>508</v>
      </c>
      <c r="C464" s="93"/>
      <c r="D464" s="93"/>
      <c r="E464" s="93"/>
      <c r="F464" s="93"/>
      <c r="G464" s="101">
        <f>(G454*0.35)</f>
        <v>669566825.08099985</v>
      </c>
      <c r="H464" s="93"/>
      <c r="I464" s="93"/>
      <c r="J464" s="94"/>
    </row>
    <row r="465" spans="1:10">
      <c r="A465" s="95"/>
      <c r="B465" s="93"/>
      <c r="C465" s="93"/>
      <c r="D465" s="93"/>
      <c r="E465" s="93"/>
      <c r="F465" s="93"/>
      <c r="G465" s="93"/>
      <c r="H465" s="93"/>
      <c r="I465" s="93"/>
      <c r="J465" s="94"/>
    </row>
    <row r="466" spans="1:10">
      <c r="A466" s="95"/>
      <c r="B466" s="98" t="s">
        <v>509</v>
      </c>
      <c r="C466" s="93"/>
      <c r="D466" s="93"/>
      <c r="E466" s="93"/>
      <c r="F466" s="93"/>
      <c r="G466" s="93"/>
      <c r="H466" s="93"/>
      <c r="I466" s="93"/>
      <c r="J466" s="94"/>
    </row>
    <row r="467" spans="1:10">
      <c r="A467" s="102">
        <v>62</v>
      </c>
      <c r="B467" s="98" t="s">
        <v>510</v>
      </c>
      <c r="C467" s="93"/>
      <c r="D467" s="93"/>
      <c r="E467" s="93"/>
      <c r="F467" s="93"/>
      <c r="G467" s="101">
        <v>0</v>
      </c>
      <c r="H467" s="93"/>
      <c r="I467" s="93"/>
      <c r="J467" s="94"/>
    </row>
    <row r="468" spans="1:10">
      <c r="A468" s="95"/>
      <c r="B468" s="93"/>
      <c r="C468" s="93"/>
      <c r="D468" s="93"/>
      <c r="E468" s="93"/>
      <c r="F468" s="93"/>
      <c r="G468" s="93"/>
      <c r="H468" s="93"/>
      <c r="I468" s="93"/>
      <c r="J468" s="94"/>
    </row>
    <row r="469" spans="1:10">
      <c r="A469" s="102">
        <v>63</v>
      </c>
      <c r="B469" s="98" t="s">
        <v>566</v>
      </c>
      <c r="C469" s="93"/>
      <c r="D469" s="93"/>
      <c r="E469" s="93"/>
      <c r="F469" s="93"/>
      <c r="G469" s="104">
        <v>0</v>
      </c>
      <c r="H469" s="93"/>
      <c r="I469" s="93"/>
      <c r="J469" s="94"/>
    </row>
    <row r="470" spans="1:10">
      <c r="A470" s="95"/>
      <c r="B470" s="93"/>
      <c r="C470" s="93"/>
      <c r="D470" s="93"/>
      <c r="E470" s="93"/>
      <c r="F470" s="93"/>
      <c r="G470" s="101"/>
      <c r="H470" s="93"/>
      <c r="I470" s="93"/>
      <c r="J470" s="94"/>
    </row>
    <row r="471" spans="1:10">
      <c r="A471" s="102">
        <v>64</v>
      </c>
      <c r="B471" s="98" t="s">
        <v>511</v>
      </c>
      <c r="C471" s="93"/>
      <c r="D471" s="93"/>
      <c r="E471" s="93"/>
      <c r="F471" s="93"/>
      <c r="G471" s="93"/>
      <c r="H471" s="93"/>
      <c r="I471" s="93"/>
      <c r="J471" s="94"/>
    </row>
    <row r="472" spans="1:10">
      <c r="A472" s="102"/>
      <c r="B472" s="98"/>
      <c r="C472" s="93"/>
      <c r="D472" s="93"/>
      <c r="E472" s="93"/>
      <c r="F472" s="93"/>
      <c r="G472" s="93"/>
      <c r="H472" s="93"/>
      <c r="I472" s="93"/>
      <c r="J472" s="94"/>
    </row>
    <row r="473" spans="1:10">
      <c r="A473" s="102">
        <v>65</v>
      </c>
      <c r="B473" s="98" t="s">
        <v>512</v>
      </c>
      <c r="C473" s="93"/>
      <c r="D473" s="93"/>
      <c r="E473" s="93"/>
      <c r="F473" s="93"/>
      <c r="G473" s="93"/>
      <c r="H473" s="93"/>
      <c r="I473" s="93"/>
      <c r="J473" s="94"/>
    </row>
    <row r="474" spans="1:10">
      <c r="A474" s="102"/>
      <c r="B474" s="98"/>
      <c r="C474" s="93"/>
      <c r="D474" s="93"/>
      <c r="E474" s="93"/>
      <c r="F474" s="93"/>
      <c r="G474" s="93"/>
      <c r="H474" s="93"/>
      <c r="I474" s="93"/>
      <c r="J474" s="94"/>
    </row>
    <row r="475" spans="1:10">
      <c r="A475" s="95">
        <v>66</v>
      </c>
      <c r="B475" s="98" t="s">
        <v>513</v>
      </c>
      <c r="C475" s="93"/>
      <c r="D475" s="93"/>
      <c r="E475" s="93"/>
      <c r="F475" s="93"/>
      <c r="G475" s="93"/>
      <c r="H475" s="93"/>
      <c r="I475" s="93"/>
      <c r="J475" s="94"/>
    </row>
    <row r="476" spans="1:10">
      <c r="A476" s="95"/>
      <c r="B476" s="98" t="s">
        <v>567</v>
      </c>
      <c r="C476" s="93"/>
      <c r="D476" s="93"/>
      <c r="E476" s="93"/>
      <c r="F476" s="93"/>
      <c r="G476" s="93">
        <v>0</v>
      </c>
      <c r="H476" s="93"/>
      <c r="I476" s="93"/>
      <c r="J476" s="94"/>
    </row>
    <row r="477" spans="1:10">
      <c r="A477" s="95"/>
      <c r="B477" s="98" t="s">
        <v>568</v>
      </c>
      <c r="C477" s="93"/>
      <c r="D477" s="93"/>
      <c r="E477" s="93"/>
      <c r="F477" s="93"/>
      <c r="G477" s="101">
        <v>0</v>
      </c>
      <c r="H477" s="93"/>
      <c r="I477" s="93"/>
      <c r="J477" s="94"/>
    </row>
    <row r="478" spans="1:10">
      <c r="A478" s="95"/>
      <c r="B478" s="98" t="s">
        <v>514</v>
      </c>
      <c r="C478" s="93"/>
      <c r="D478" s="93"/>
      <c r="E478" s="93"/>
      <c r="F478" s="93"/>
      <c r="G478" s="101">
        <f>(192961299*0.35)</f>
        <v>67536454.649999991</v>
      </c>
      <c r="H478" s="93"/>
      <c r="I478" s="93"/>
      <c r="J478" s="94"/>
    </row>
    <row r="479" spans="1:10">
      <c r="A479" s="95"/>
      <c r="B479" s="93"/>
      <c r="C479" s="93"/>
      <c r="D479" s="93"/>
      <c r="E479" s="93"/>
      <c r="F479" s="93"/>
      <c r="G479" s="101">
        <f>G476+G477+G478</f>
        <v>67536454.649999991</v>
      </c>
      <c r="H479" s="93"/>
      <c r="I479" s="93"/>
      <c r="J479" s="94"/>
    </row>
    <row r="480" spans="1:10">
      <c r="A480" s="95"/>
      <c r="B480" s="93"/>
      <c r="C480" s="93"/>
      <c r="D480" s="93"/>
      <c r="E480" s="93"/>
      <c r="F480" s="93"/>
      <c r="G480" s="93"/>
      <c r="H480" s="93"/>
      <c r="I480" s="93"/>
      <c r="J480" s="94"/>
    </row>
    <row r="481" spans="1:10">
      <c r="A481" s="102">
        <v>67</v>
      </c>
      <c r="B481" s="98" t="s">
        <v>515</v>
      </c>
      <c r="C481" s="93"/>
      <c r="D481" s="93"/>
      <c r="E481" s="93"/>
      <c r="F481" s="93"/>
      <c r="G481" s="101">
        <f>G464-G467-G469-G471-G473-G479</f>
        <v>602030370.43099988</v>
      </c>
      <c r="H481" s="93"/>
      <c r="I481" s="93"/>
      <c r="J481" s="94"/>
    </row>
    <row r="482" spans="1:10">
      <c r="A482" s="95"/>
      <c r="B482" s="93"/>
      <c r="C482" s="93"/>
      <c r="D482" s="93"/>
      <c r="E482" s="93"/>
      <c r="F482" s="93"/>
      <c r="G482" s="93"/>
      <c r="H482" s="93"/>
      <c r="I482" s="93"/>
      <c r="J482" s="94"/>
    </row>
    <row r="483" spans="1:10">
      <c r="A483" s="102">
        <v>68</v>
      </c>
      <c r="B483" s="98" t="s">
        <v>516</v>
      </c>
      <c r="C483" s="93"/>
      <c r="D483" s="93"/>
      <c r="E483" s="93"/>
      <c r="F483" s="93"/>
      <c r="G483" s="104">
        <v>0</v>
      </c>
      <c r="H483" s="93"/>
      <c r="I483" s="93"/>
      <c r="J483" s="94"/>
    </row>
    <row r="484" spans="1:10">
      <c r="A484" s="95"/>
      <c r="B484" s="93"/>
      <c r="C484" s="93"/>
      <c r="D484" s="93"/>
      <c r="E484" s="93"/>
      <c r="F484" s="93"/>
      <c r="G484" s="93"/>
      <c r="H484" s="93"/>
      <c r="I484" s="93"/>
      <c r="J484" s="94"/>
    </row>
    <row r="485" spans="1:10">
      <c r="A485" s="102">
        <v>69</v>
      </c>
      <c r="B485" s="105" t="s">
        <v>517</v>
      </c>
      <c r="C485" s="93"/>
      <c r="D485" s="93"/>
      <c r="E485" s="93"/>
      <c r="F485" s="93"/>
      <c r="G485" s="106">
        <f>G481-G483</f>
        <v>602030370.43099988</v>
      </c>
      <c r="H485" s="93"/>
      <c r="I485" s="93"/>
      <c r="J485" s="94"/>
    </row>
    <row r="486" spans="1:10">
      <c r="A486" s="95"/>
      <c r="B486" s="93"/>
      <c r="C486" s="93"/>
      <c r="D486" s="93"/>
      <c r="E486" s="93"/>
      <c r="F486" s="93"/>
      <c r="G486" s="93"/>
      <c r="H486" s="93"/>
      <c r="I486" s="93"/>
      <c r="J486" s="94"/>
    </row>
    <row r="487" spans="1:10">
      <c r="A487" s="102">
        <v>70</v>
      </c>
      <c r="B487" s="98" t="s">
        <v>518</v>
      </c>
      <c r="C487" s="93"/>
      <c r="D487" s="93"/>
      <c r="E487" s="93"/>
      <c r="F487" s="93"/>
      <c r="G487" s="101">
        <v>0</v>
      </c>
      <c r="H487" s="93"/>
      <c r="I487" s="93"/>
      <c r="J487" s="94"/>
    </row>
    <row r="488" spans="1:10">
      <c r="A488" s="95"/>
      <c r="B488" s="93"/>
      <c r="C488" s="93"/>
      <c r="D488" s="93"/>
      <c r="E488" s="93"/>
      <c r="F488" s="93"/>
      <c r="G488" s="93"/>
      <c r="H488" s="93"/>
      <c r="I488" s="93"/>
      <c r="J488" s="94"/>
    </row>
    <row r="489" spans="1:10">
      <c r="A489" s="102">
        <v>71</v>
      </c>
      <c r="B489" s="98" t="s">
        <v>519</v>
      </c>
      <c r="C489" s="93"/>
      <c r="D489" s="93"/>
      <c r="E489" s="93"/>
      <c r="F489" s="93"/>
      <c r="G489" s="104">
        <v>0</v>
      </c>
      <c r="H489" s="93"/>
      <c r="I489" s="93"/>
      <c r="J489" s="94"/>
    </row>
    <row r="490" spans="1:10">
      <c r="A490" s="95"/>
      <c r="B490" s="93"/>
      <c r="C490" s="93"/>
      <c r="D490" s="93"/>
      <c r="E490" s="93"/>
      <c r="F490" s="93"/>
      <c r="G490" s="93"/>
      <c r="H490" s="93"/>
      <c r="I490" s="93"/>
      <c r="J490" s="94"/>
    </row>
    <row r="491" spans="1:10">
      <c r="A491" s="102">
        <v>72</v>
      </c>
      <c r="B491" s="105" t="s">
        <v>520</v>
      </c>
      <c r="C491" s="93"/>
      <c r="D491" s="93"/>
      <c r="E491" s="93"/>
      <c r="F491" s="93"/>
      <c r="G491" s="106">
        <f>G485+G487+G489</f>
        <v>602030370.43099988</v>
      </c>
      <c r="H491" s="93"/>
      <c r="I491" s="93"/>
      <c r="J491" s="94"/>
    </row>
    <row r="492" spans="1:10">
      <c r="A492" s="95"/>
      <c r="B492" s="93"/>
      <c r="C492" s="93"/>
      <c r="D492" s="93"/>
      <c r="E492" s="93"/>
      <c r="F492" s="93"/>
      <c r="G492" s="93"/>
      <c r="H492" s="93"/>
      <c r="I492" s="93"/>
      <c r="J492" s="94"/>
    </row>
    <row r="493" spans="1:10">
      <c r="A493" s="95"/>
      <c r="B493" s="98" t="s">
        <v>521</v>
      </c>
      <c r="C493" s="93"/>
      <c r="D493" s="93"/>
      <c r="E493" s="93"/>
      <c r="F493" s="93"/>
      <c r="G493" s="101"/>
      <c r="H493" s="93"/>
      <c r="I493" s="93"/>
      <c r="J493" s="94"/>
    </row>
    <row r="494" spans="1:10">
      <c r="A494" s="102">
        <v>73</v>
      </c>
      <c r="B494" s="98" t="s">
        <v>522</v>
      </c>
      <c r="C494" s="93"/>
      <c r="D494" s="93"/>
      <c r="E494" s="93"/>
      <c r="F494" s="93"/>
      <c r="G494" s="101">
        <v>0</v>
      </c>
      <c r="H494" s="93"/>
      <c r="I494" s="93"/>
      <c r="J494" s="94"/>
    </row>
    <row r="495" spans="1:10">
      <c r="A495" s="95"/>
      <c r="B495" s="93"/>
      <c r="C495" s="93"/>
      <c r="D495" s="93"/>
      <c r="E495" s="93"/>
      <c r="F495" s="93"/>
      <c r="G495" s="101" t="s">
        <v>228</v>
      </c>
      <c r="H495" s="93"/>
      <c r="I495" s="93"/>
      <c r="J495" s="94"/>
    </row>
    <row r="496" spans="1:10">
      <c r="A496" s="102">
        <v>74</v>
      </c>
      <c r="B496" s="98" t="s">
        <v>523</v>
      </c>
      <c r="C496" s="93"/>
      <c r="D496" s="93"/>
      <c r="E496" s="93"/>
      <c r="F496" s="93"/>
      <c r="G496" s="101">
        <v>3010588</v>
      </c>
      <c r="H496" s="93"/>
      <c r="I496" s="93"/>
      <c r="J496" s="94"/>
    </row>
    <row r="497" spans="1:10">
      <c r="A497" s="95"/>
      <c r="B497" s="93"/>
      <c r="C497" s="93"/>
      <c r="D497" s="93"/>
      <c r="E497" s="93"/>
      <c r="F497" s="93"/>
      <c r="G497" s="101"/>
      <c r="H497" s="93"/>
      <c r="I497" s="93"/>
      <c r="J497" s="94"/>
    </row>
    <row r="498" spans="1:10">
      <c r="A498" s="102">
        <v>75</v>
      </c>
      <c r="B498" s="98" t="s">
        <v>428</v>
      </c>
      <c r="C498" s="93"/>
      <c r="D498" s="93"/>
      <c r="E498" s="93"/>
      <c r="F498" s="93"/>
      <c r="G498" s="101">
        <v>0</v>
      </c>
      <c r="H498" s="93"/>
      <c r="I498" s="93"/>
      <c r="J498" s="94"/>
    </row>
    <row r="499" spans="1:10">
      <c r="A499" s="95"/>
      <c r="B499" s="93"/>
      <c r="C499" s="93"/>
      <c r="D499" s="93"/>
      <c r="E499" s="93"/>
      <c r="F499" s="93"/>
      <c r="G499" s="101"/>
      <c r="H499" s="93"/>
      <c r="I499" s="93"/>
      <c r="J499" s="94"/>
    </row>
    <row r="500" spans="1:10">
      <c r="A500" s="102">
        <v>76</v>
      </c>
      <c r="B500" s="98" t="s">
        <v>524</v>
      </c>
      <c r="C500" s="93"/>
      <c r="D500" s="93"/>
      <c r="E500" s="93"/>
      <c r="F500" s="93"/>
      <c r="G500" s="101">
        <v>0</v>
      </c>
      <c r="H500" s="93"/>
      <c r="I500" s="93"/>
      <c r="J500" s="94"/>
    </row>
    <row r="501" spans="1:10">
      <c r="A501" s="95"/>
      <c r="B501" s="93"/>
      <c r="C501" s="93"/>
      <c r="D501" s="93"/>
      <c r="E501" s="93"/>
      <c r="F501" s="93"/>
      <c r="G501" s="101"/>
      <c r="H501" s="93"/>
      <c r="I501" s="93"/>
      <c r="J501" s="94"/>
    </row>
    <row r="502" spans="1:10">
      <c r="A502" s="102">
        <v>77</v>
      </c>
      <c r="B502" s="98" t="s">
        <v>368</v>
      </c>
      <c r="C502" s="93"/>
      <c r="D502" s="93"/>
      <c r="E502" s="93"/>
      <c r="F502" s="93"/>
      <c r="G502" s="101">
        <v>0</v>
      </c>
      <c r="H502" s="93"/>
      <c r="I502" s="93"/>
      <c r="J502" s="94"/>
    </row>
    <row r="503" spans="1:10">
      <c r="A503" s="95"/>
      <c r="B503" s="93"/>
      <c r="C503" s="93"/>
      <c r="D503" s="93"/>
      <c r="E503" s="93"/>
      <c r="F503" s="93"/>
      <c r="G503" s="101"/>
      <c r="H503" s="93"/>
      <c r="I503" s="93"/>
      <c r="J503" s="94"/>
    </row>
    <row r="504" spans="1:10">
      <c r="A504" s="102">
        <v>78</v>
      </c>
      <c r="B504" s="98" t="s">
        <v>525</v>
      </c>
      <c r="C504" s="93"/>
      <c r="D504" s="93"/>
      <c r="E504" s="93"/>
      <c r="F504" s="93"/>
      <c r="G504" s="101">
        <f>28146366-3010588</f>
        <v>25135778</v>
      </c>
      <c r="H504" s="93"/>
      <c r="I504" s="93"/>
      <c r="J504" s="94"/>
    </row>
    <row r="505" spans="1:10">
      <c r="A505" s="95"/>
      <c r="B505" s="93"/>
      <c r="C505" s="93"/>
      <c r="D505" s="93"/>
      <c r="E505" s="93"/>
      <c r="F505" s="93"/>
      <c r="G505" s="101"/>
      <c r="H505" s="93"/>
      <c r="I505" s="93"/>
      <c r="J505" s="94"/>
    </row>
    <row r="506" spans="1:10">
      <c r="A506" s="102">
        <v>79</v>
      </c>
      <c r="B506" s="98" t="s">
        <v>526</v>
      </c>
      <c r="C506" s="93"/>
      <c r="D506" s="93"/>
      <c r="E506" s="93"/>
      <c r="F506" s="93"/>
      <c r="G506" s="101">
        <v>0</v>
      </c>
      <c r="H506" s="93"/>
      <c r="I506" s="93"/>
      <c r="J506" s="94"/>
    </row>
    <row r="507" spans="1:10">
      <c r="A507" s="95"/>
      <c r="B507" s="93"/>
      <c r="C507" s="93"/>
      <c r="D507" s="93"/>
      <c r="E507" s="93"/>
      <c r="F507" s="93"/>
      <c r="G507" s="111"/>
      <c r="H507" s="93"/>
      <c r="I507" s="93"/>
      <c r="J507" s="94"/>
    </row>
    <row r="508" spans="1:10">
      <c r="A508" s="102">
        <v>80</v>
      </c>
      <c r="B508" s="105" t="s">
        <v>527</v>
      </c>
      <c r="C508" s="93"/>
      <c r="D508" s="93"/>
      <c r="E508" s="93"/>
      <c r="F508" s="93"/>
      <c r="G508" s="106">
        <f>SUM(G494:G506)</f>
        <v>28146366</v>
      </c>
      <c r="H508" s="93"/>
      <c r="I508" s="93"/>
      <c r="J508" s="94"/>
    </row>
    <row r="509" spans="1:10">
      <c r="A509" s="95"/>
      <c r="B509" s="93"/>
      <c r="C509" s="93"/>
      <c r="D509" s="93"/>
      <c r="E509" s="93"/>
      <c r="F509" s="93"/>
      <c r="G509" s="93"/>
      <c r="H509" s="93"/>
      <c r="I509" s="93"/>
      <c r="J509" s="94"/>
    </row>
    <row r="510" spans="1:10">
      <c r="A510" s="102">
        <v>81</v>
      </c>
      <c r="B510" s="98" t="s">
        <v>528</v>
      </c>
      <c r="C510" s="93"/>
      <c r="D510" s="93"/>
      <c r="E510" s="93"/>
      <c r="F510" s="93"/>
      <c r="G510" s="101">
        <v>0</v>
      </c>
      <c r="H510" s="93"/>
      <c r="I510" s="93"/>
      <c r="J510" s="94"/>
    </row>
    <row r="511" spans="1:10">
      <c r="A511" s="95"/>
      <c r="B511" s="93"/>
      <c r="C511" s="93"/>
      <c r="D511" s="93"/>
      <c r="E511" s="93"/>
      <c r="F511" s="93"/>
      <c r="G511" s="101"/>
      <c r="H511" s="93"/>
      <c r="I511" s="93"/>
      <c r="J511" s="94"/>
    </row>
    <row r="512" spans="1:10">
      <c r="A512" s="102">
        <v>82</v>
      </c>
      <c r="B512" s="98" t="s">
        <v>569</v>
      </c>
      <c r="C512" s="93"/>
      <c r="D512" s="93"/>
      <c r="E512" s="93"/>
      <c r="F512" s="93"/>
      <c r="G512" s="101">
        <v>307073000</v>
      </c>
      <c r="H512" s="93"/>
      <c r="I512" s="93"/>
      <c r="J512" s="94"/>
    </row>
    <row r="513" spans="1:10">
      <c r="A513" s="95"/>
      <c r="B513" s="93"/>
      <c r="C513" s="93"/>
      <c r="D513" s="93"/>
      <c r="E513" s="93"/>
      <c r="F513" s="93"/>
      <c r="G513" s="101"/>
      <c r="H513" s="93"/>
      <c r="I513" s="93"/>
      <c r="J513" s="94"/>
    </row>
    <row r="514" spans="1:10">
      <c r="A514" s="102">
        <v>83</v>
      </c>
      <c r="B514" s="98" t="s">
        <v>530</v>
      </c>
      <c r="C514" s="93"/>
      <c r="D514" s="93"/>
      <c r="E514" s="93"/>
      <c r="F514" s="93"/>
      <c r="G514" s="101" t="e">
        <f>F359</f>
        <v>#VALUE!</v>
      </c>
      <c r="H514" s="93"/>
      <c r="I514" s="93"/>
      <c r="J514" s="94"/>
    </row>
    <row r="515" spans="1:10">
      <c r="A515" s="95"/>
      <c r="B515" s="93"/>
      <c r="C515" s="93"/>
      <c r="D515" s="93"/>
      <c r="E515" s="93"/>
      <c r="F515" s="93"/>
      <c r="G515" s="101"/>
      <c r="H515" s="93"/>
      <c r="I515" s="93"/>
      <c r="J515" s="94"/>
    </row>
    <row r="516" spans="1:10">
      <c r="A516" s="102">
        <v>84</v>
      </c>
      <c r="B516" s="98" t="s">
        <v>531</v>
      </c>
      <c r="C516" s="93"/>
      <c r="D516" s="93"/>
      <c r="E516" s="93"/>
      <c r="F516" s="93"/>
      <c r="G516" s="101">
        <v>0</v>
      </c>
      <c r="H516" s="93"/>
      <c r="I516" s="93"/>
      <c r="J516" s="94"/>
    </row>
    <row r="517" spans="1:10">
      <c r="A517" s="95"/>
      <c r="B517" s="93"/>
      <c r="C517" s="93"/>
      <c r="D517" s="93"/>
      <c r="E517" s="93"/>
      <c r="F517" s="93"/>
      <c r="G517" s="101"/>
      <c r="H517" s="93"/>
      <c r="I517" s="93"/>
      <c r="J517" s="94"/>
    </row>
    <row r="518" spans="1:10">
      <c r="A518" s="102">
        <v>85</v>
      </c>
      <c r="B518" s="105" t="s">
        <v>532</v>
      </c>
      <c r="C518" s="93"/>
      <c r="D518" s="93"/>
      <c r="E518" s="93"/>
      <c r="F518" s="93"/>
      <c r="G518" s="106" t="e">
        <f>(+G481-G512+G514-G508)</f>
        <v>#VALUE!</v>
      </c>
      <c r="H518" s="93"/>
      <c r="I518" s="93"/>
      <c r="J518" s="94"/>
    </row>
    <row r="519" spans="1:10">
      <c r="A519" s="95"/>
      <c r="B519" s="93"/>
      <c r="C519" s="93"/>
      <c r="D519" s="93"/>
      <c r="E519" s="93"/>
      <c r="F519" s="93"/>
      <c r="G519" s="93"/>
      <c r="H519" s="93"/>
      <c r="I519" s="93"/>
      <c r="J519" s="94"/>
    </row>
    <row r="520" spans="1:10">
      <c r="A520" s="102">
        <v>86</v>
      </c>
      <c r="B520" s="98" t="s">
        <v>533</v>
      </c>
      <c r="C520" s="93"/>
      <c r="D520" s="93"/>
      <c r="E520" s="93"/>
      <c r="F520" s="93"/>
      <c r="G520" s="104">
        <v>0</v>
      </c>
      <c r="H520" s="93"/>
      <c r="I520" s="93"/>
      <c r="J520" s="94"/>
    </row>
    <row r="521" spans="1:10">
      <c r="A521" s="97" t="s">
        <v>534</v>
      </c>
      <c r="B521" s="93"/>
      <c r="C521" s="93"/>
      <c r="D521" s="93"/>
      <c r="E521" s="93"/>
      <c r="F521" s="93"/>
      <c r="G521" s="93"/>
      <c r="H521" s="93"/>
      <c r="I521" s="93"/>
      <c r="J521" s="94"/>
    </row>
    <row r="522" spans="1:10" ht="13.2" thickBot="1">
      <c r="A522" s="122"/>
      <c r="B522" s="123"/>
      <c r="C522" s="123"/>
      <c r="D522" s="123"/>
      <c r="E522" s="123"/>
      <c r="F522" s="123"/>
      <c r="G522" s="123"/>
      <c r="H522" s="123"/>
      <c r="I522" s="123"/>
      <c r="J522" s="124"/>
    </row>
  </sheetData>
  <mergeCells count="4">
    <mergeCell ref="A1:G1"/>
    <mergeCell ref="A2:G2"/>
    <mergeCell ref="A4:G4"/>
    <mergeCell ref="A5:G5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EST-FIN</vt:lpstr>
      <vt:lpstr>FL-EFEC</vt:lpstr>
      <vt:lpstr>VAR-BCE</vt:lpstr>
      <vt:lpstr>PG NOV 00</vt:lpstr>
      <vt:lpstr>VAR-RES</vt:lpstr>
      <vt:lpstr>VAR-ADM</vt:lpstr>
      <vt:lpstr>VAR-VTA</vt:lpstr>
      <vt:lpstr>Bce Nov00</vt:lpstr>
      <vt:lpstr>DECL RENTA </vt:lpstr>
      <vt:lpstr>VENTAS</vt:lpstr>
      <vt:lpstr>'VAR-ADM'!Área_de_impresión</vt:lpstr>
      <vt:lpstr>'VAR-BCE'!Área_de_impresión</vt:lpstr>
      <vt:lpstr>'VAR-RES'!Área_de_impresión</vt:lpstr>
      <vt:lpstr>VENTAS!Área_de_impresión</vt:lpstr>
      <vt:lpstr>'EST-FIN'!Títulos_a_imprimir</vt:lpstr>
      <vt:lpstr>'VAR-ADM'!Títulos_a_imprimir</vt:lpstr>
      <vt:lpstr>'VAR-BCE'!Títulos_a_imprimir</vt:lpstr>
      <vt:lpstr>'VAR-VTA'!Títulos_a_imprimir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ROESGA</dc:creator>
  <cp:lastModifiedBy>Luffi</cp:lastModifiedBy>
  <cp:lastPrinted>2000-12-22T15:32:36Z</cp:lastPrinted>
  <dcterms:created xsi:type="dcterms:W3CDTF">2000-07-17T13:08:11Z</dcterms:created>
  <dcterms:modified xsi:type="dcterms:W3CDTF">2013-02-16T13:55:04Z</dcterms:modified>
</cp:coreProperties>
</file>